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ASF07244\Public\Board Meeting Info\"/>
    </mc:Choice>
  </mc:AlternateContent>
  <xr:revisionPtr revIDLastSave="0" documentId="13_ncr:1_{0579EF36-DF27-487D-B4AF-F9F91CACCFF2}" xr6:coauthVersionLast="45" xr6:coauthVersionMax="45" xr10:uidLastSave="{00000000-0000-0000-0000-000000000000}"/>
  <bookViews>
    <workbookView xWindow="-28920" yWindow="-120" windowWidth="29040" windowHeight="15840" tabRatio="876" firstSheet="1" activeTab="14" xr2:uid="{00000000-000D-0000-FFFF-FFFF00000000}"/>
  </bookViews>
  <sheets>
    <sheet name="January 2019" sheetId="18" r:id="rId1"/>
    <sheet name="February 2019" sheetId="49" r:id="rId2"/>
    <sheet name="March 2019" sheetId="50" r:id="rId3"/>
    <sheet name="April 2019" sheetId="51" r:id="rId4"/>
    <sheet name="May 2019" sheetId="52" r:id="rId5"/>
    <sheet name="June 2019" sheetId="53" r:id="rId6"/>
    <sheet name="July 2019" sheetId="54" r:id="rId7"/>
    <sheet name="August 2019" sheetId="55" r:id="rId8"/>
    <sheet name="September 2019" sheetId="56" r:id="rId9"/>
    <sheet name="October 2019" sheetId="57" r:id="rId10"/>
    <sheet name="November 2019" sheetId="58" r:id="rId11"/>
    <sheet name="December 2019" sheetId="59" r:id="rId12"/>
    <sheet name="2017 Statistics" sheetId="31" r:id="rId13"/>
    <sheet name="2018 Statistics" sheetId="38" r:id="rId14"/>
    <sheet name="2019 Statistics" sheetId="48" r:id="rId15"/>
  </sheets>
  <definedNames>
    <definedName name="_xlnm.Print_Area" localSheetId="3">'April 2019'!$A$1:$I$49</definedName>
    <definedName name="_xlnm.Print_Area" localSheetId="7">'August 2019'!$A$1:$I$49</definedName>
    <definedName name="_xlnm.Print_Area" localSheetId="11">'December 2019'!$A$1:$I$49</definedName>
    <definedName name="_xlnm.Print_Area" localSheetId="1">'February 2019'!$A$1:$I$49</definedName>
    <definedName name="_xlnm.Print_Area" localSheetId="0">'January 2019'!$A$1:$I$49</definedName>
    <definedName name="_xlnm.Print_Area" localSheetId="6">'July 2019'!$A$1:$I$49</definedName>
    <definedName name="_xlnm.Print_Area" localSheetId="5">'June 2019'!$A$1:$I$49</definedName>
    <definedName name="_xlnm.Print_Area" localSheetId="2">'March 2019'!$A$1:$I$49</definedName>
    <definedName name="_xlnm.Print_Area" localSheetId="4">'May 2019'!$A$1:$I$49</definedName>
    <definedName name="_xlnm.Print_Area" localSheetId="10">'November 2019'!$A$1:$I$49</definedName>
    <definedName name="_xlnm.Print_Area" localSheetId="9">'October 2019'!$A$1:$I$49</definedName>
    <definedName name="_xlnm.Print_Area" localSheetId="8">'September 2019'!$A$1:$I$49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59" l="1"/>
  <c r="H40" i="59"/>
  <c r="H42" i="59"/>
  <c r="H43" i="59"/>
  <c r="H34" i="59"/>
  <c r="H28" i="59"/>
  <c r="H22" i="59"/>
  <c r="H20" i="59"/>
  <c r="H16" i="59"/>
  <c r="H15" i="59"/>
  <c r="G38" i="59"/>
  <c r="G40" i="59"/>
  <c r="G42" i="59"/>
  <c r="G43" i="59"/>
  <c r="G34" i="59"/>
  <c r="G28" i="59"/>
  <c r="G22" i="59"/>
  <c r="G18" i="59" s="1"/>
  <c r="G21" i="59"/>
  <c r="G20" i="59"/>
  <c r="G19" i="59"/>
  <c r="G16" i="59"/>
  <c r="G15" i="59"/>
  <c r="G14" i="59"/>
  <c r="G13" i="59"/>
  <c r="E38" i="59"/>
  <c r="E39" i="59"/>
  <c r="E40" i="59"/>
  <c r="E41" i="59"/>
  <c r="F41" i="59" s="1"/>
  <c r="E42" i="59"/>
  <c r="E43" i="59"/>
  <c r="E37" i="59"/>
  <c r="D38" i="59"/>
  <c r="D39" i="59"/>
  <c r="F39" i="59" s="1"/>
  <c r="D40" i="59"/>
  <c r="D41" i="59"/>
  <c r="D42" i="59"/>
  <c r="D43" i="59"/>
  <c r="D37" i="59"/>
  <c r="E28" i="59"/>
  <c r="D28" i="59"/>
  <c r="E22" i="59"/>
  <c r="E21" i="59"/>
  <c r="E20" i="59"/>
  <c r="E19" i="59"/>
  <c r="E16" i="59"/>
  <c r="E15" i="59"/>
  <c r="E14" i="59"/>
  <c r="E13" i="59"/>
  <c r="D22" i="59"/>
  <c r="D21" i="59"/>
  <c r="D20" i="59"/>
  <c r="D19" i="59"/>
  <c r="D16" i="59"/>
  <c r="D15" i="59"/>
  <c r="D14" i="59"/>
  <c r="F14" i="59" s="1"/>
  <c r="D13" i="59"/>
  <c r="E18" i="59"/>
  <c r="F19" i="59"/>
  <c r="F20" i="59" l="1"/>
  <c r="F37" i="59"/>
  <c r="I22" i="59"/>
  <c r="I16" i="59"/>
  <c r="I38" i="59"/>
  <c r="I34" i="59"/>
  <c r="I28" i="59"/>
  <c r="I20" i="59"/>
  <c r="I15" i="59"/>
  <c r="G32" i="59"/>
  <c r="F27" i="59"/>
  <c r="F22" i="59"/>
  <c r="F16" i="59"/>
  <c r="D12" i="59"/>
  <c r="F13" i="59"/>
  <c r="D18" i="59"/>
  <c r="F18" i="59" s="1"/>
  <c r="E12" i="59"/>
  <c r="E24" i="59" s="1"/>
  <c r="G12" i="59"/>
  <c r="H38" i="58"/>
  <c r="H40" i="58"/>
  <c r="H42" i="58"/>
  <c r="H43" i="58"/>
  <c r="H34" i="58"/>
  <c r="H28" i="58"/>
  <c r="H22" i="58"/>
  <c r="I22" i="58" s="1"/>
  <c r="H20" i="58"/>
  <c r="H16" i="58"/>
  <c r="H15" i="58"/>
  <c r="M41" i="48"/>
  <c r="D45" i="58" s="1"/>
  <c r="G43" i="58"/>
  <c r="G42" i="58"/>
  <c r="G40" i="58"/>
  <c r="G38" i="58"/>
  <c r="I38" i="58" s="1"/>
  <c r="G34" i="58"/>
  <c r="G28" i="58"/>
  <c r="G22" i="58"/>
  <c r="G21" i="58"/>
  <c r="G18" i="58" s="1"/>
  <c r="G20" i="58"/>
  <c r="G19" i="58"/>
  <c r="G16" i="58"/>
  <c r="G15" i="58"/>
  <c r="G14" i="58"/>
  <c r="G13" i="58"/>
  <c r="E38" i="58"/>
  <c r="E39" i="58"/>
  <c r="F39" i="58" s="1"/>
  <c r="E40" i="58"/>
  <c r="E41" i="58"/>
  <c r="E42" i="58"/>
  <c r="E43" i="58"/>
  <c r="E37" i="58"/>
  <c r="E28" i="58"/>
  <c r="E22" i="58"/>
  <c r="E21" i="58"/>
  <c r="E20" i="58"/>
  <c r="E19" i="58"/>
  <c r="E16" i="58"/>
  <c r="E15" i="58"/>
  <c r="E14" i="58"/>
  <c r="E13" i="58"/>
  <c r="D38" i="58"/>
  <c r="D39" i="58"/>
  <c r="D40" i="58"/>
  <c r="D41" i="58"/>
  <c r="D42" i="58"/>
  <c r="D43" i="58"/>
  <c r="D37" i="58"/>
  <c r="F37" i="58" s="1"/>
  <c r="M32" i="48"/>
  <c r="D36" i="58" s="1"/>
  <c r="D28" i="58"/>
  <c r="D32" i="58" s="1"/>
  <c r="D22" i="58"/>
  <c r="D21" i="58"/>
  <c r="D20" i="58"/>
  <c r="D19" i="58"/>
  <c r="D16" i="58"/>
  <c r="D15" i="58"/>
  <c r="D14" i="58"/>
  <c r="D13" i="58"/>
  <c r="F13" i="58" s="1"/>
  <c r="I34" i="58"/>
  <c r="I28" i="58"/>
  <c r="I20" i="58"/>
  <c r="F20" i="58"/>
  <c r="I16" i="58"/>
  <c r="F14" i="58"/>
  <c r="M26" i="48"/>
  <c r="L33" i="48"/>
  <c r="L35" i="48"/>
  <c r="H42" i="57"/>
  <c r="H43" i="57"/>
  <c r="H40" i="57"/>
  <c r="H38" i="57"/>
  <c r="H34" i="57"/>
  <c r="H28" i="57"/>
  <c r="H22" i="57"/>
  <c r="H20" i="57"/>
  <c r="H16" i="57"/>
  <c r="H15" i="57"/>
  <c r="G40" i="57"/>
  <c r="G42" i="57"/>
  <c r="G43" i="57"/>
  <c r="G38" i="57"/>
  <c r="G37" i="57"/>
  <c r="G34" i="57"/>
  <c r="G28" i="57"/>
  <c r="G22" i="57"/>
  <c r="G21" i="57"/>
  <c r="G20" i="57"/>
  <c r="G19" i="57"/>
  <c r="G16" i="57"/>
  <c r="G15" i="57"/>
  <c r="G14" i="57"/>
  <c r="G13" i="57"/>
  <c r="E43" i="57"/>
  <c r="E42" i="57"/>
  <c r="E41" i="57"/>
  <c r="E40" i="57"/>
  <c r="E39" i="57"/>
  <c r="E38" i="57"/>
  <c r="E37" i="57"/>
  <c r="E28" i="57"/>
  <c r="E22" i="57"/>
  <c r="E21" i="57"/>
  <c r="E20" i="57"/>
  <c r="E19" i="57"/>
  <c r="E16" i="57"/>
  <c r="E15" i="57"/>
  <c r="E14" i="57"/>
  <c r="E13" i="57"/>
  <c r="D39" i="57"/>
  <c r="F39" i="57" s="1"/>
  <c r="D40" i="57"/>
  <c r="D41" i="57"/>
  <c r="D42" i="57"/>
  <c r="D43" i="57"/>
  <c r="D38" i="57"/>
  <c r="D37" i="57"/>
  <c r="D28" i="57"/>
  <c r="D22" i="57"/>
  <c r="D21" i="57"/>
  <c r="D20" i="57"/>
  <c r="D19" i="57"/>
  <c r="D18" i="57" s="1"/>
  <c r="D16" i="57"/>
  <c r="D15" i="57"/>
  <c r="D14" i="57"/>
  <c r="F14" i="57" s="1"/>
  <c r="D13" i="57"/>
  <c r="F22" i="57"/>
  <c r="I38" i="57"/>
  <c r="I16" i="57"/>
  <c r="I15" i="57"/>
  <c r="G32" i="57"/>
  <c r="F13" i="57"/>
  <c r="F16" i="57"/>
  <c r="K26" i="48"/>
  <c r="H38" i="56"/>
  <c r="H40" i="56"/>
  <c r="H42" i="56"/>
  <c r="H43" i="56"/>
  <c r="H34" i="56"/>
  <c r="H28" i="56"/>
  <c r="H22" i="56"/>
  <c r="H20" i="56"/>
  <c r="H16" i="56"/>
  <c r="H15" i="56"/>
  <c r="G38" i="56"/>
  <c r="I38" i="56"/>
  <c r="G40" i="56"/>
  <c r="G42" i="56"/>
  <c r="G43" i="56"/>
  <c r="G37" i="56"/>
  <c r="G34" i="56"/>
  <c r="I34" i="56" s="1"/>
  <c r="G28" i="56"/>
  <c r="G22" i="56"/>
  <c r="G21" i="56"/>
  <c r="G18" i="56" s="1"/>
  <c r="G20" i="56"/>
  <c r="G19" i="56"/>
  <c r="G16" i="56"/>
  <c r="G15" i="56"/>
  <c r="G12" i="56" s="1"/>
  <c r="G14" i="56"/>
  <c r="G13" i="56"/>
  <c r="E38" i="56"/>
  <c r="E39" i="56"/>
  <c r="F39" i="56" s="1"/>
  <c r="E40" i="56"/>
  <c r="E42" i="56"/>
  <c r="E43" i="56"/>
  <c r="E28" i="56"/>
  <c r="E32" i="56" s="1"/>
  <c r="E22" i="56"/>
  <c r="E21" i="56"/>
  <c r="E20" i="56"/>
  <c r="E19" i="56"/>
  <c r="E16" i="56"/>
  <c r="E15" i="56"/>
  <c r="E14" i="56"/>
  <c r="E13" i="56"/>
  <c r="D38" i="56"/>
  <c r="D39" i="56"/>
  <c r="D40" i="56"/>
  <c r="D41" i="56"/>
  <c r="D42" i="56"/>
  <c r="D43" i="56"/>
  <c r="D37" i="56"/>
  <c r="D28" i="56"/>
  <c r="D22" i="56"/>
  <c r="D21" i="56"/>
  <c r="D20" i="56"/>
  <c r="F20" i="56"/>
  <c r="D19" i="56"/>
  <c r="D16" i="56"/>
  <c r="D15" i="56"/>
  <c r="D14" i="56"/>
  <c r="F14" i="56" s="1"/>
  <c r="D13" i="56"/>
  <c r="I28" i="56"/>
  <c r="I22" i="56"/>
  <c r="I16" i="56"/>
  <c r="G32" i="56"/>
  <c r="H38" i="55"/>
  <c r="H39" i="55"/>
  <c r="H36" i="55" s="1"/>
  <c r="H40" i="55"/>
  <c r="H41" i="55"/>
  <c r="H42" i="55"/>
  <c r="H43" i="55"/>
  <c r="H37" i="55"/>
  <c r="G38" i="55"/>
  <c r="G40" i="55"/>
  <c r="G42" i="55"/>
  <c r="G43" i="55"/>
  <c r="G37" i="55"/>
  <c r="H34" i="55"/>
  <c r="G34" i="55"/>
  <c r="I34" i="55" s="1"/>
  <c r="H28" i="55"/>
  <c r="G28" i="55"/>
  <c r="H22" i="55"/>
  <c r="I22" i="55" s="1"/>
  <c r="H20" i="55"/>
  <c r="G22" i="55"/>
  <c r="G21" i="55"/>
  <c r="G20" i="55"/>
  <c r="I20" i="55" s="1"/>
  <c r="G19" i="55"/>
  <c r="G18" i="55" s="1"/>
  <c r="H16" i="55"/>
  <c r="H15" i="55"/>
  <c r="G16" i="55"/>
  <c r="I16" i="55" s="1"/>
  <c r="G15" i="55"/>
  <c r="G14" i="55"/>
  <c r="G13" i="55"/>
  <c r="E38" i="55"/>
  <c r="E40" i="55"/>
  <c r="E41" i="55"/>
  <c r="E42" i="55"/>
  <c r="E43" i="55"/>
  <c r="E37" i="55"/>
  <c r="D38" i="55"/>
  <c r="D39" i="55"/>
  <c r="D40" i="55"/>
  <c r="D41" i="55"/>
  <c r="F41" i="55" s="1"/>
  <c r="D42" i="55"/>
  <c r="D43" i="55"/>
  <c r="D37" i="55"/>
  <c r="F37" i="55" s="1"/>
  <c r="D28" i="55"/>
  <c r="E28" i="55"/>
  <c r="E22" i="55"/>
  <c r="E21" i="55"/>
  <c r="E20" i="55"/>
  <c r="E19" i="55"/>
  <c r="D22" i="55"/>
  <c r="F22" i="55" s="1"/>
  <c r="D21" i="55"/>
  <c r="D20" i="55"/>
  <c r="D19" i="55"/>
  <c r="F19" i="55" s="1"/>
  <c r="E16" i="55"/>
  <c r="E15" i="55"/>
  <c r="E14" i="55"/>
  <c r="E13" i="55"/>
  <c r="E12" i="55" s="1"/>
  <c r="D16" i="55"/>
  <c r="D15" i="55"/>
  <c r="D14" i="55"/>
  <c r="F14" i="55" s="1"/>
  <c r="D13" i="55"/>
  <c r="E18" i="55"/>
  <c r="I37" i="55"/>
  <c r="I15" i="55"/>
  <c r="G32" i="55"/>
  <c r="F20" i="55"/>
  <c r="F16" i="55"/>
  <c r="I38" i="55"/>
  <c r="H34" i="54"/>
  <c r="H38" i="54"/>
  <c r="H40" i="54"/>
  <c r="H41" i="54"/>
  <c r="H42" i="54"/>
  <c r="H43" i="54"/>
  <c r="H37" i="54"/>
  <c r="H28" i="54"/>
  <c r="H22" i="54"/>
  <c r="H20" i="54"/>
  <c r="H16" i="54"/>
  <c r="H15" i="54"/>
  <c r="G38" i="54"/>
  <c r="I38" i="54"/>
  <c r="G40" i="54"/>
  <c r="G42" i="54"/>
  <c r="G43" i="54"/>
  <c r="G37" i="54"/>
  <c r="I37" i="54" s="1"/>
  <c r="G34" i="54"/>
  <c r="G28" i="54"/>
  <c r="G22" i="54"/>
  <c r="G21" i="54"/>
  <c r="G20" i="54"/>
  <c r="G19" i="54"/>
  <c r="G16" i="54"/>
  <c r="G15" i="54"/>
  <c r="I15" i="54" s="1"/>
  <c r="G14" i="54"/>
  <c r="G13" i="54"/>
  <c r="E38" i="54"/>
  <c r="E40" i="54"/>
  <c r="E41" i="54"/>
  <c r="E42" i="54"/>
  <c r="E43" i="54"/>
  <c r="E37" i="54"/>
  <c r="D43" i="54"/>
  <c r="D42" i="54"/>
  <c r="D41" i="54"/>
  <c r="D40" i="54"/>
  <c r="D39" i="54"/>
  <c r="D38" i="54"/>
  <c r="D37" i="54"/>
  <c r="F37" i="54"/>
  <c r="E32" i="54"/>
  <c r="E28" i="54"/>
  <c r="D28" i="54"/>
  <c r="D27" i="54"/>
  <c r="D31" i="54" s="1"/>
  <c r="E22" i="54"/>
  <c r="F22" i="54" s="1"/>
  <c r="E21" i="54"/>
  <c r="E20" i="54"/>
  <c r="E19" i="54"/>
  <c r="E18" i="54" s="1"/>
  <c r="E24" i="54" s="1"/>
  <c r="E16" i="54"/>
  <c r="F16" i="54" s="1"/>
  <c r="E15" i="54"/>
  <c r="E14" i="54"/>
  <c r="F14" i="54"/>
  <c r="E13" i="54"/>
  <c r="E12" i="54" s="1"/>
  <c r="D22" i="54"/>
  <c r="D21" i="54"/>
  <c r="D20" i="54"/>
  <c r="F20" i="54" s="1"/>
  <c r="D19" i="54"/>
  <c r="D16" i="54"/>
  <c r="D15" i="54"/>
  <c r="D14" i="54"/>
  <c r="D13" i="54"/>
  <c r="I20" i="54"/>
  <c r="I22" i="54"/>
  <c r="F41" i="54"/>
  <c r="H41" i="48"/>
  <c r="H38" i="53"/>
  <c r="I38" i="53" s="1"/>
  <c r="H39" i="53"/>
  <c r="H40" i="53"/>
  <c r="H41" i="53"/>
  <c r="H42" i="53"/>
  <c r="H43" i="53"/>
  <c r="H37" i="53"/>
  <c r="G38" i="53"/>
  <c r="G40" i="53"/>
  <c r="G42" i="53"/>
  <c r="G43" i="53"/>
  <c r="G37" i="53"/>
  <c r="H34" i="53"/>
  <c r="G34" i="53"/>
  <c r="H28" i="53"/>
  <c r="G28" i="53"/>
  <c r="D45" i="53"/>
  <c r="E38" i="53"/>
  <c r="E39" i="53"/>
  <c r="E40" i="53"/>
  <c r="E41" i="53"/>
  <c r="F41" i="53" s="1"/>
  <c r="E42" i="53"/>
  <c r="E43" i="53"/>
  <c r="E37" i="53"/>
  <c r="D38" i="53"/>
  <c r="D39" i="53"/>
  <c r="D40" i="53"/>
  <c r="D41" i="53"/>
  <c r="D42" i="53"/>
  <c r="D43" i="53"/>
  <c r="D37" i="53"/>
  <c r="H32" i="48"/>
  <c r="D36" i="53" s="1"/>
  <c r="E28" i="53"/>
  <c r="D28" i="53"/>
  <c r="H22" i="53"/>
  <c r="H20" i="53"/>
  <c r="H16" i="53"/>
  <c r="H15" i="53"/>
  <c r="G22" i="53"/>
  <c r="I22" i="53" s="1"/>
  <c r="G21" i="53"/>
  <c r="G32" i="53" s="1"/>
  <c r="G20" i="53"/>
  <c r="G19" i="53"/>
  <c r="G16" i="53"/>
  <c r="G15" i="53"/>
  <c r="G14" i="53"/>
  <c r="G13" i="53"/>
  <c r="E22" i="53"/>
  <c r="E21" i="53"/>
  <c r="E20" i="53"/>
  <c r="E19" i="53"/>
  <c r="D22" i="53"/>
  <c r="F22" i="53" s="1"/>
  <c r="D21" i="53"/>
  <c r="D18" i="53" s="1"/>
  <c r="D20" i="53"/>
  <c r="F20" i="53" s="1"/>
  <c r="D19" i="53"/>
  <c r="E16" i="53"/>
  <c r="E15" i="53"/>
  <c r="E14" i="53"/>
  <c r="E13" i="53"/>
  <c r="D16" i="53"/>
  <c r="D15" i="53"/>
  <c r="D14" i="53"/>
  <c r="F14" i="53" s="1"/>
  <c r="D13" i="53"/>
  <c r="I37" i="53"/>
  <c r="F19" i="53"/>
  <c r="F16" i="53"/>
  <c r="I15" i="53"/>
  <c r="F13" i="53"/>
  <c r="H21" i="48"/>
  <c r="I21" i="48"/>
  <c r="J21" i="48"/>
  <c r="D27" i="55" s="1"/>
  <c r="D31" i="55" s="1"/>
  <c r="K21" i="48"/>
  <c r="L21" i="48"/>
  <c r="L20" i="48" s="1"/>
  <c r="L24" i="48" s="1"/>
  <c r="M21" i="48"/>
  <c r="D27" i="58" s="1"/>
  <c r="N21" i="48"/>
  <c r="D27" i="59" s="1"/>
  <c r="D26" i="59" s="1"/>
  <c r="F26" i="59" s="1"/>
  <c r="D21" i="48"/>
  <c r="E21" i="48"/>
  <c r="F21" i="48"/>
  <c r="F25" i="48" s="1"/>
  <c r="G21" i="48"/>
  <c r="C21" i="48"/>
  <c r="G21" i="38"/>
  <c r="E27" i="52" s="1"/>
  <c r="G38" i="52"/>
  <c r="I38" i="52" s="1"/>
  <c r="G40" i="52"/>
  <c r="G42" i="52"/>
  <c r="G43" i="52"/>
  <c r="G37" i="52"/>
  <c r="H38" i="52"/>
  <c r="H39" i="52"/>
  <c r="H40" i="52"/>
  <c r="H41" i="52"/>
  <c r="H42" i="52"/>
  <c r="H43" i="52"/>
  <c r="H37" i="52"/>
  <c r="H36" i="52" s="1"/>
  <c r="H34" i="52"/>
  <c r="G34" i="52"/>
  <c r="H28" i="52"/>
  <c r="G28" i="52"/>
  <c r="I28" i="52" s="1"/>
  <c r="E38" i="52"/>
  <c r="E39" i="52"/>
  <c r="F39" i="52" s="1"/>
  <c r="E40" i="52"/>
  <c r="E41" i="52"/>
  <c r="E42" i="52"/>
  <c r="E43" i="52"/>
  <c r="E37" i="52"/>
  <c r="E28" i="52"/>
  <c r="H22" i="52"/>
  <c r="I22" i="52" s="1"/>
  <c r="H20" i="52"/>
  <c r="G22" i="52"/>
  <c r="G21" i="52"/>
  <c r="G20" i="52"/>
  <c r="G19" i="52"/>
  <c r="H16" i="52"/>
  <c r="H15" i="52"/>
  <c r="G16" i="52"/>
  <c r="I16" i="52" s="1"/>
  <c r="G15" i="52"/>
  <c r="I15" i="52" s="1"/>
  <c r="G14" i="52"/>
  <c r="G13" i="52"/>
  <c r="E22" i="52"/>
  <c r="D22" i="52"/>
  <c r="F22" i="52" s="1"/>
  <c r="E21" i="52"/>
  <c r="E20" i="52"/>
  <c r="E19" i="52"/>
  <c r="E16" i="52"/>
  <c r="E15" i="52"/>
  <c r="E14" i="52"/>
  <c r="E13" i="52"/>
  <c r="D43" i="52"/>
  <c r="D42" i="52"/>
  <c r="D41" i="52"/>
  <c r="F41" i="52" s="1"/>
  <c r="D40" i="52"/>
  <c r="D39" i="52"/>
  <c r="D38" i="52"/>
  <c r="D37" i="52"/>
  <c r="D28" i="52"/>
  <c r="D32" i="52" s="1"/>
  <c r="D21" i="52"/>
  <c r="D20" i="52"/>
  <c r="D19" i="52"/>
  <c r="D16" i="52"/>
  <c r="D15" i="52"/>
  <c r="D14" i="52"/>
  <c r="D13" i="52"/>
  <c r="E26" i="52"/>
  <c r="F20" i="52"/>
  <c r="G18" i="52"/>
  <c r="G19" i="51"/>
  <c r="F35" i="48"/>
  <c r="F41" i="48"/>
  <c r="D45" i="51"/>
  <c r="H38" i="51"/>
  <c r="H39" i="51"/>
  <c r="H40" i="51"/>
  <c r="H41" i="51"/>
  <c r="H36" i="51" s="1"/>
  <c r="H42" i="51"/>
  <c r="H43" i="51"/>
  <c r="H37" i="51"/>
  <c r="G38" i="51"/>
  <c r="I38" i="51" s="1"/>
  <c r="G40" i="51"/>
  <c r="G42" i="51"/>
  <c r="G43" i="51"/>
  <c r="G37" i="51"/>
  <c r="I37" i="51" s="1"/>
  <c r="E38" i="51"/>
  <c r="E39" i="51"/>
  <c r="E40" i="51"/>
  <c r="E41" i="51"/>
  <c r="E42" i="51"/>
  <c r="E43" i="51"/>
  <c r="E37" i="51"/>
  <c r="D38" i="51"/>
  <c r="D40" i="51"/>
  <c r="D42" i="51"/>
  <c r="D43" i="51"/>
  <c r="D37" i="51"/>
  <c r="E32" i="51"/>
  <c r="H28" i="51"/>
  <c r="H22" i="51"/>
  <c r="H20" i="51"/>
  <c r="H16" i="51"/>
  <c r="H15" i="51"/>
  <c r="H14" i="51"/>
  <c r="G28" i="51"/>
  <c r="G22" i="51"/>
  <c r="G21" i="51"/>
  <c r="G20" i="51"/>
  <c r="G16" i="51"/>
  <c r="G15" i="51"/>
  <c r="G14" i="51"/>
  <c r="G13" i="51"/>
  <c r="E28" i="51"/>
  <c r="E22" i="51"/>
  <c r="E18" i="51" s="1"/>
  <c r="E21" i="51"/>
  <c r="E20" i="51"/>
  <c r="E19" i="51"/>
  <c r="E16" i="51"/>
  <c r="F16" i="51" s="1"/>
  <c r="E15" i="51"/>
  <c r="E14" i="51"/>
  <c r="E13" i="51"/>
  <c r="D28" i="51"/>
  <c r="D26" i="51" s="1"/>
  <c r="F26" i="51" s="1"/>
  <c r="D27" i="51"/>
  <c r="F27" i="51" s="1"/>
  <c r="D22" i="51"/>
  <c r="F22" i="51" s="1"/>
  <c r="D21" i="51"/>
  <c r="D20" i="51"/>
  <c r="F20" i="51" s="1"/>
  <c r="D19" i="51"/>
  <c r="D16" i="51"/>
  <c r="D15" i="51"/>
  <c r="D14" i="51"/>
  <c r="F14" i="51" s="1"/>
  <c r="D13" i="51"/>
  <c r="F13" i="51" s="1"/>
  <c r="F37" i="51"/>
  <c r="H34" i="51"/>
  <c r="G34" i="51"/>
  <c r="G32" i="51"/>
  <c r="D12" i="51"/>
  <c r="D18" i="51"/>
  <c r="F19" i="51"/>
  <c r="I16" i="51"/>
  <c r="F37" i="48"/>
  <c r="D41" i="51" s="1"/>
  <c r="F41" i="51" s="1"/>
  <c r="F26" i="48"/>
  <c r="E41" i="48"/>
  <c r="G38" i="50"/>
  <c r="G39" i="50"/>
  <c r="I39" i="50" s="1"/>
  <c r="G40" i="50"/>
  <c r="G42" i="50"/>
  <c r="G43" i="50"/>
  <c r="G37" i="50"/>
  <c r="I37" i="50" s="1"/>
  <c r="H34" i="50"/>
  <c r="G34" i="50"/>
  <c r="G22" i="50"/>
  <c r="G21" i="50"/>
  <c r="G32" i="50" s="1"/>
  <c r="G20" i="50"/>
  <c r="G19" i="50"/>
  <c r="G16" i="50"/>
  <c r="G15" i="50"/>
  <c r="G14" i="50"/>
  <c r="G13" i="50"/>
  <c r="G28" i="50"/>
  <c r="G27" i="50"/>
  <c r="G31" i="50" s="1"/>
  <c r="H41" i="49"/>
  <c r="H42" i="49"/>
  <c r="H43" i="49"/>
  <c r="H40" i="49"/>
  <c r="H39" i="49"/>
  <c r="H38" i="49"/>
  <c r="H37" i="49"/>
  <c r="H36" i="49" s="1"/>
  <c r="H28" i="49"/>
  <c r="G40" i="49"/>
  <c r="G42" i="49"/>
  <c r="G43" i="49"/>
  <c r="G38" i="49"/>
  <c r="G37" i="49"/>
  <c r="G34" i="49"/>
  <c r="H34" i="49"/>
  <c r="G38" i="18"/>
  <c r="G40" i="18"/>
  <c r="G42" i="18"/>
  <c r="G43" i="18"/>
  <c r="G32" i="18"/>
  <c r="G28" i="18"/>
  <c r="G22" i="18"/>
  <c r="G21" i="18"/>
  <c r="G20" i="18"/>
  <c r="I20" i="18" s="1"/>
  <c r="G19" i="18"/>
  <c r="G16" i="18"/>
  <c r="G15" i="18"/>
  <c r="G14" i="18"/>
  <c r="G13" i="18"/>
  <c r="G37" i="18"/>
  <c r="H37" i="50"/>
  <c r="H37" i="18"/>
  <c r="I37" i="18" s="1"/>
  <c r="H38" i="50"/>
  <c r="H38" i="18"/>
  <c r="H39" i="50"/>
  <c r="H39" i="18"/>
  <c r="H40" i="50"/>
  <c r="H40" i="18"/>
  <c r="H41" i="50"/>
  <c r="H41" i="18"/>
  <c r="H42" i="50"/>
  <c r="H42" i="18"/>
  <c r="H43" i="50"/>
  <c r="H43" i="18"/>
  <c r="D45" i="49"/>
  <c r="D45" i="50"/>
  <c r="H34" i="18"/>
  <c r="G28" i="49"/>
  <c r="G22" i="49"/>
  <c r="G21" i="49"/>
  <c r="G20" i="49"/>
  <c r="I20" i="49" s="1"/>
  <c r="G19" i="49"/>
  <c r="G16" i="49"/>
  <c r="G15" i="49"/>
  <c r="G14" i="49"/>
  <c r="G13" i="49"/>
  <c r="H28" i="50"/>
  <c r="H15" i="49"/>
  <c r="H16" i="49"/>
  <c r="H20" i="49"/>
  <c r="H22" i="49"/>
  <c r="E38" i="50"/>
  <c r="E39" i="50"/>
  <c r="E40" i="50"/>
  <c r="E41" i="50"/>
  <c r="E42" i="50"/>
  <c r="E43" i="50"/>
  <c r="E37" i="50"/>
  <c r="D38" i="50"/>
  <c r="D39" i="50"/>
  <c r="D40" i="50"/>
  <c r="D41" i="50"/>
  <c r="D42" i="50"/>
  <c r="D43" i="50"/>
  <c r="D37" i="50"/>
  <c r="F37" i="50" s="1"/>
  <c r="E32" i="48"/>
  <c r="D36" i="50" s="1"/>
  <c r="H22" i="50"/>
  <c r="H20" i="50"/>
  <c r="H16" i="50"/>
  <c r="I16" i="50" s="1"/>
  <c r="H15" i="50"/>
  <c r="E28" i="50"/>
  <c r="D28" i="50"/>
  <c r="D27" i="50"/>
  <c r="E22" i="50"/>
  <c r="E21" i="50"/>
  <c r="E20" i="50"/>
  <c r="E19" i="50"/>
  <c r="D22" i="50"/>
  <c r="F22" i="50" s="1"/>
  <c r="D21" i="50"/>
  <c r="D18" i="50" s="1"/>
  <c r="D20" i="50"/>
  <c r="D19" i="50"/>
  <c r="F19" i="50" s="1"/>
  <c r="E16" i="50"/>
  <c r="E15" i="50"/>
  <c r="E14" i="50"/>
  <c r="E13" i="50"/>
  <c r="D16" i="50"/>
  <c r="F16" i="50" s="1"/>
  <c r="D15" i="50"/>
  <c r="F15" i="50" s="1"/>
  <c r="D14" i="50"/>
  <c r="D13" i="50"/>
  <c r="F41" i="50"/>
  <c r="H36" i="50"/>
  <c r="D32" i="50"/>
  <c r="I20" i="50"/>
  <c r="F20" i="50"/>
  <c r="F14" i="50"/>
  <c r="I38" i="49"/>
  <c r="O3" i="48"/>
  <c r="O11" i="48"/>
  <c r="I16" i="49"/>
  <c r="O29" i="48"/>
  <c r="O30" i="48"/>
  <c r="D41" i="48"/>
  <c r="E38" i="49"/>
  <c r="E39" i="49"/>
  <c r="E40" i="49"/>
  <c r="E41" i="49"/>
  <c r="E42" i="49"/>
  <c r="E43" i="49"/>
  <c r="E37" i="49"/>
  <c r="D38" i="49"/>
  <c r="D39" i="49"/>
  <c r="D40" i="49"/>
  <c r="D41" i="49"/>
  <c r="D42" i="49"/>
  <c r="D43" i="49"/>
  <c r="D37" i="49"/>
  <c r="D32" i="48"/>
  <c r="D36" i="49" s="1"/>
  <c r="F36" i="49" s="1"/>
  <c r="E28" i="49"/>
  <c r="D28" i="49"/>
  <c r="E22" i="49"/>
  <c r="E20" i="49"/>
  <c r="E16" i="49"/>
  <c r="E15" i="49"/>
  <c r="E14" i="49"/>
  <c r="D22" i="49"/>
  <c r="F22" i="49" s="1"/>
  <c r="D21" i="49"/>
  <c r="D20" i="49"/>
  <c r="D19" i="49"/>
  <c r="D16" i="49"/>
  <c r="F16" i="49" s="1"/>
  <c r="D15" i="49"/>
  <c r="F15" i="49" s="1"/>
  <c r="D14" i="49"/>
  <c r="D13" i="49"/>
  <c r="E26" i="49"/>
  <c r="F20" i="49"/>
  <c r="F14" i="49"/>
  <c r="C35" i="48"/>
  <c r="G39" i="59" s="1"/>
  <c r="C37" i="48"/>
  <c r="H28" i="18"/>
  <c r="H22" i="18"/>
  <c r="H21" i="18"/>
  <c r="H20" i="18"/>
  <c r="H19" i="18"/>
  <c r="H16" i="18"/>
  <c r="H15" i="18"/>
  <c r="H14" i="18"/>
  <c r="H13" i="18"/>
  <c r="H12" i="18" s="1"/>
  <c r="E39" i="18"/>
  <c r="E40" i="18"/>
  <c r="E41" i="18"/>
  <c r="E42" i="18"/>
  <c r="E43" i="18"/>
  <c r="E38" i="18"/>
  <c r="E37" i="18"/>
  <c r="D39" i="18"/>
  <c r="D40" i="18"/>
  <c r="D42" i="18"/>
  <c r="D43" i="18"/>
  <c r="D38" i="18"/>
  <c r="D37" i="18"/>
  <c r="E28" i="18"/>
  <c r="D28" i="18"/>
  <c r="D27" i="18"/>
  <c r="E22" i="18"/>
  <c r="E21" i="18"/>
  <c r="E20" i="18"/>
  <c r="E19" i="18"/>
  <c r="E16" i="18"/>
  <c r="E15" i="18"/>
  <c r="E14" i="18"/>
  <c r="E13" i="18"/>
  <c r="D22" i="18"/>
  <c r="D21" i="18"/>
  <c r="D20" i="18"/>
  <c r="D19" i="18"/>
  <c r="F19" i="18" s="1"/>
  <c r="D16" i="18"/>
  <c r="D15" i="18"/>
  <c r="D14" i="18"/>
  <c r="D13" i="18"/>
  <c r="O65" i="48"/>
  <c r="O64" i="48"/>
  <c r="O63" i="48"/>
  <c r="O62" i="48"/>
  <c r="O61" i="48"/>
  <c r="O60" i="48"/>
  <c r="O59" i="48"/>
  <c r="O58" i="48"/>
  <c r="O57" i="48"/>
  <c r="O56" i="48"/>
  <c r="O55" i="48"/>
  <c r="N54" i="48"/>
  <c r="M54" i="48"/>
  <c r="L54" i="48"/>
  <c r="K54" i="48"/>
  <c r="J54" i="48"/>
  <c r="I54" i="48"/>
  <c r="H54" i="48"/>
  <c r="G54" i="48"/>
  <c r="F54" i="48"/>
  <c r="E54" i="48"/>
  <c r="D54" i="48"/>
  <c r="C54" i="48"/>
  <c r="O52" i="48"/>
  <c r="O51" i="48"/>
  <c r="O50" i="48"/>
  <c r="O49" i="48"/>
  <c r="O48" i="48"/>
  <c r="O47" i="48"/>
  <c r="O46" i="48"/>
  <c r="O45" i="48"/>
  <c r="O44" i="48"/>
  <c r="O43" i="48"/>
  <c r="C41" i="48"/>
  <c r="D45" i="18" s="1"/>
  <c r="N41" i="48"/>
  <c r="L41" i="48"/>
  <c r="K41" i="48"/>
  <c r="J41" i="48"/>
  <c r="I41" i="48"/>
  <c r="G41" i="48"/>
  <c r="D45" i="52" s="1"/>
  <c r="O39" i="48"/>
  <c r="O38" i="48"/>
  <c r="O36" i="48"/>
  <c r="O35" i="48"/>
  <c r="O34" i="48"/>
  <c r="K32" i="48"/>
  <c r="D36" i="56" s="1"/>
  <c r="N32" i="48"/>
  <c r="D36" i="59" s="1"/>
  <c r="L32" i="48"/>
  <c r="D36" i="57" s="1"/>
  <c r="F36" i="57" s="1"/>
  <c r="I32" i="48"/>
  <c r="G32" i="48"/>
  <c r="C32" i="48"/>
  <c r="N28" i="48"/>
  <c r="D34" i="59" s="1"/>
  <c r="M28" i="48"/>
  <c r="D34" i="58" s="1"/>
  <c r="L28" i="48"/>
  <c r="D34" i="57" s="1"/>
  <c r="K28" i="48"/>
  <c r="D34" i="56" s="1"/>
  <c r="J28" i="48"/>
  <c r="D34" i="55" s="1"/>
  <c r="I28" i="48"/>
  <c r="D34" i="54" s="1"/>
  <c r="H28" i="48"/>
  <c r="D34" i="53" s="1"/>
  <c r="G28" i="48"/>
  <c r="D34" i="52" s="1"/>
  <c r="F28" i="48"/>
  <c r="D34" i="51" s="1"/>
  <c r="E28" i="48"/>
  <c r="D34" i="50" s="1"/>
  <c r="D28" i="48"/>
  <c r="D34" i="49" s="1"/>
  <c r="C28" i="48"/>
  <c r="G34" i="18" s="1"/>
  <c r="D26" i="48"/>
  <c r="L25" i="48"/>
  <c r="I25" i="48"/>
  <c r="E25" i="48"/>
  <c r="D25" i="48"/>
  <c r="O22" i="48"/>
  <c r="N25" i="48"/>
  <c r="K25" i="48"/>
  <c r="J25" i="48"/>
  <c r="F20" i="48"/>
  <c r="F24" i="48" s="1"/>
  <c r="E20" i="48"/>
  <c r="E24" i="48" s="1"/>
  <c r="C25" i="48"/>
  <c r="G31" i="18" s="1"/>
  <c r="N20" i="48"/>
  <c r="N24" i="48" s="1"/>
  <c r="D30" i="59" s="1"/>
  <c r="M20" i="48"/>
  <c r="M24" i="48"/>
  <c r="D30" i="58" s="1"/>
  <c r="J20" i="48"/>
  <c r="J24" i="48"/>
  <c r="I20" i="48"/>
  <c r="I24" i="48" s="1"/>
  <c r="G20" i="48"/>
  <c r="G24" i="48" s="1"/>
  <c r="O16" i="48"/>
  <c r="O15" i="48"/>
  <c r="O14" i="48"/>
  <c r="O13" i="48"/>
  <c r="O12" i="48"/>
  <c r="N10" i="48"/>
  <c r="M10" i="48"/>
  <c r="L10" i="48"/>
  <c r="K10" i="48"/>
  <c r="J10" i="48"/>
  <c r="I10" i="48"/>
  <c r="H10" i="48"/>
  <c r="G10" i="48"/>
  <c r="F10" i="48"/>
  <c r="E10" i="48"/>
  <c r="C10" i="48"/>
  <c r="O8" i="48"/>
  <c r="O7" i="48"/>
  <c r="O6" i="48"/>
  <c r="O5" i="48"/>
  <c r="O4" i="48"/>
  <c r="N2" i="48"/>
  <c r="M2" i="48"/>
  <c r="M18" i="48" s="1"/>
  <c r="L2" i="48"/>
  <c r="L18" i="48" s="1"/>
  <c r="K2" i="48"/>
  <c r="J2" i="48"/>
  <c r="I2" i="48"/>
  <c r="I18" i="48" s="1"/>
  <c r="H2" i="48"/>
  <c r="H18" i="48" s="1"/>
  <c r="G2" i="48"/>
  <c r="F2" i="48"/>
  <c r="F18" i="48" s="1"/>
  <c r="E2" i="48"/>
  <c r="C2" i="48"/>
  <c r="E18" i="48"/>
  <c r="J32" i="48"/>
  <c r="D36" i="55" s="1"/>
  <c r="F36" i="55" s="1"/>
  <c r="O33" i="48"/>
  <c r="O42" i="48"/>
  <c r="D2" i="48"/>
  <c r="D10" i="48"/>
  <c r="D18" i="48"/>
  <c r="N21" i="38"/>
  <c r="E27" i="59" s="1"/>
  <c r="E26" i="59" s="1"/>
  <c r="M21" i="38"/>
  <c r="E27" i="58" s="1"/>
  <c r="E26" i="58" s="1"/>
  <c r="L26" i="38"/>
  <c r="L21" i="38"/>
  <c r="K33" i="38"/>
  <c r="H37" i="59" s="1"/>
  <c r="J35" i="38"/>
  <c r="E39" i="55" s="1"/>
  <c r="F39" i="55" s="1"/>
  <c r="I35" i="38"/>
  <c r="K37" i="38"/>
  <c r="H41" i="59" s="1"/>
  <c r="K21" i="38"/>
  <c r="E27" i="56" s="1"/>
  <c r="E26" i="56" s="1"/>
  <c r="J26" i="38"/>
  <c r="J21" i="38"/>
  <c r="I21" i="38"/>
  <c r="E26" i="38"/>
  <c r="E32" i="50" s="1"/>
  <c r="G26" i="38"/>
  <c r="E32" i="52" s="1"/>
  <c r="H26" i="38"/>
  <c r="E32" i="53" s="1"/>
  <c r="H21" i="38"/>
  <c r="G41" i="38"/>
  <c r="E45" i="52" s="1"/>
  <c r="F45" i="52" s="1"/>
  <c r="G32" i="38"/>
  <c r="E36" i="52" s="1"/>
  <c r="O35" i="38"/>
  <c r="O33" i="38"/>
  <c r="O22" i="38"/>
  <c r="F21" i="38"/>
  <c r="E27" i="51" s="1"/>
  <c r="E26" i="51" s="1"/>
  <c r="E21" i="38"/>
  <c r="E25" i="38" s="1"/>
  <c r="E31" i="50" s="1"/>
  <c r="O34" i="38"/>
  <c r="D41" i="38"/>
  <c r="O36" i="38"/>
  <c r="O16" i="38"/>
  <c r="O8" i="38"/>
  <c r="C32" i="38"/>
  <c r="E36" i="18" s="1"/>
  <c r="D21" i="38"/>
  <c r="E27" i="49" s="1"/>
  <c r="D13" i="38"/>
  <c r="D11" i="38"/>
  <c r="D3" i="38"/>
  <c r="C42" i="38"/>
  <c r="O42" i="38" s="1"/>
  <c r="F14" i="18"/>
  <c r="C26" i="38"/>
  <c r="H32" i="18" s="1"/>
  <c r="C21" i="38"/>
  <c r="O65" i="38"/>
  <c r="O64" i="38"/>
  <c r="O63" i="38"/>
  <c r="O62" i="38"/>
  <c r="O61" i="38"/>
  <c r="O60" i="38"/>
  <c r="O59" i="38"/>
  <c r="O58" i="38"/>
  <c r="O57" i="38"/>
  <c r="O56" i="38"/>
  <c r="O55" i="38"/>
  <c r="N54" i="38"/>
  <c r="M54" i="38"/>
  <c r="L54" i="38"/>
  <c r="K54" i="38"/>
  <c r="J54" i="38"/>
  <c r="I54" i="38"/>
  <c r="H54" i="38"/>
  <c r="G54" i="38"/>
  <c r="F54" i="38"/>
  <c r="E54" i="38"/>
  <c r="D54" i="38"/>
  <c r="C54" i="38"/>
  <c r="O52" i="38"/>
  <c r="O51" i="38"/>
  <c r="O50" i="38"/>
  <c r="O49" i="38"/>
  <c r="O48" i="38"/>
  <c r="O47" i="38"/>
  <c r="O46" i="38"/>
  <c r="O45" i="38"/>
  <c r="O44" i="38"/>
  <c r="O43" i="38"/>
  <c r="N41" i="38"/>
  <c r="E45" i="59" s="1"/>
  <c r="M41" i="38"/>
  <c r="E45" i="58" s="1"/>
  <c r="L41" i="38"/>
  <c r="E45" i="57" s="1"/>
  <c r="K41" i="38"/>
  <c r="E45" i="56" s="1"/>
  <c r="J41" i="38"/>
  <c r="E45" i="55" s="1"/>
  <c r="I41" i="38"/>
  <c r="E45" i="54" s="1"/>
  <c r="H41" i="38"/>
  <c r="F41" i="38"/>
  <c r="E45" i="51" s="1"/>
  <c r="E41" i="38"/>
  <c r="E45" i="49" s="1"/>
  <c r="O39" i="38"/>
  <c r="O38" i="38"/>
  <c r="N32" i="38"/>
  <c r="E36" i="59" s="1"/>
  <c r="M32" i="38"/>
  <c r="E36" i="58" s="1"/>
  <c r="L32" i="38"/>
  <c r="E36" i="57" s="1"/>
  <c r="J32" i="38"/>
  <c r="E36" i="55" s="1"/>
  <c r="H32" i="38"/>
  <c r="E36" i="53" s="1"/>
  <c r="F32" i="38"/>
  <c r="E36" i="51" s="1"/>
  <c r="E32" i="38"/>
  <c r="E36" i="50" s="1"/>
  <c r="D32" i="38"/>
  <c r="E36" i="49" s="1"/>
  <c r="O30" i="38"/>
  <c r="O29" i="38"/>
  <c r="N28" i="38"/>
  <c r="E34" i="59" s="1"/>
  <c r="M28" i="38"/>
  <c r="E34" i="58" s="1"/>
  <c r="L28" i="38"/>
  <c r="E34" i="57" s="1"/>
  <c r="K28" i="38"/>
  <c r="E34" i="56" s="1"/>
  <c r="J28" i="38"/>
  <c r="E34" i="55" s="1"/>
  <c r="I28" i="38"/>
  <c r="E34" i="54" s="1"/>
  <c r="H28" i="38"/>
  <c r="E34" i="53" s="1"/>
  <c r="G28" i="38"/>
  <c r="E34" i="52" s="1"/>
  <c r="F28" i="38"/>
  <c r="E34" i="51" s="1"/>
  <c r="E28" i="38"/>
  <c r="E34" i="50" s="1"/>
  <c r="D28" i="38"/>
  <c r="E34" i="49" s="1"/>
  <c r="C28" i="38"/>
  <c r="E34" i="18" s="1"/>
  <c r="D26" i="38"/>
  <c r="E32" i="49" s="1"/>
  <c r="J25" i="38"/>
  <c r="E31" i="55" s="1"/>
  <c r="F25" i="38"/>
  <c r="E31" i="51" s="1"/>
  <c r="M25" i="38"/>
  <c r="E31" i="58" s="1"/>
  <c r="I25" i="38"/>
  <c r="E31" i="54" s="1"/>
  <c r="G25" i="38"/>
  <c r="E31" i="52" s="1"/>
  <c r="K20" i="38"/>
  <c r="K24" i="38" s="1"/>
  <c r="E30" i="56" s="1"/>
  <c r="G20" i="38"/>
  <c r="G24" i="38"/>
  <c r="D30" i="52" s="1"/>
  <c r="O15" i="38"/>
  <c r="O14" i="38"/>
  <c r="O12" i="38"/>
  <c r="N10" i="38"/>
  <c r="N18" i="38" s="1"/>
  <c r="M10" i="38"/>
  <c r="M18" i="38" s="1"/>
  <c r="L10" i="38"/>
  <c r="K10" i="38"/>
  <c r="J10" i="38"/>
  <c r="J18" i="38" s="1"/>
  <c r="I10" i="38"/>
  <c r="H10" i="38"/>
  <c r="G10" i="38"/>
  <c r="F10" i="38"/>
  <c r="F18" i="38" s="1"/>
  <c r="E10" i="38"/>
  <c r="C10" i="38"/>
  <c r="O7" i="38"/>
  <c r="O6" i="38"/>
  <c r="O4" i="38"/>
  <c r="N2" i="38"/>
  <c r="M2" i="38"/>
  <c r="L2" i="38"/>
  <c r="L18" i="38" s="1"/>
  <c r="K2" i="38"/>
  <c r="J2" i="38"/>
  <c r="I2" i="38"/>
  <c r="H2" i="38"/>
  <c r="H18" i="38" s="1"/>
  <c r="G2" i="38"/>
  <c r="G18" i="38" s="1"/>
  <c r="F2" i="38"/>
  <c r="E2" i="38"/>
  <c r="C2" i="38"/>
  <c r="C18" i="38" s="1"/>
  <c r="M41" i="31"/>
  <c r="L41" i="31"/>
  <c r="L21" i="31"/>
  <c r="L20" i="31"/>
  <c r="L24" i="31" s="1"/>
  <c r="L28" i="31"/>
  <c r="O30" i="31"/>
  <c r="O29" i="31"/>
  <c r="O28" i="31" s="1"/>
  <c r="O51" i="31"/>
  <c r="O63" i="31"/>
  <c r="I33" i="31"/>
  <c r="I32" i="31"/>
  <c r="H50" i="31"/>
  <c r="G35" i="31"/>
  <c r="O35" i="31" s="1"/>
  <c r="G37" i="31"/>
  <c r="O37" i="31" s="1"/>
  <c r="F54" i="31"/>
  <c r="G54" i="31"/>
  <c r="H54" i="31"/>
  <c r="I54" i="31"/>
  <c r="J54" i="31"/>
  <c r="K54" i="31"/>
  <c r="L54" i="31"/>
  <c r="M54" i="31"/>
  <c r="N54" i="31"/>
  <c r="O60" i="31"/>
  <c r="O61" i="31"/>
  <c r="O62" i="31"/>
  <c r="O55" i="31"/>
  <c r="O64" i="31"/>
  <c r="O65" i="31"/>
  <c r="O49" i="31"/>
  <c r="O36" i="31"/>
  <c r="D26" i="31"/>
  <c r="E41" i="31"/>
  <c r="E54" i="31"/>
  <c r="D54" i="31"/>
  <c r="O34" i="31"/>
  <c r="O38" i="31"/>
  <c r="O39" i="31"/>
  <c r="O58" i="31"/>
  <c r="O59" i="31"/>
  <c r="O56" i="31"/>
  <c r="O43" i="31"/>
  <c r="O44" i="31"/>
  <c r="O45" i="31"/>
  <c r="O46" i="31"/>
  <c r="O47" i="31"/>
  <c r="O48" i="31"/>
  <c r="O52" i="31"/>
  <c r="E10" i="31"/>
  <c r="F10" i="31"/>
  <c r="G10" i="31"/>
  <c r="H10" i="31"/>
  <c r="I10" i="31"/>
  <c r="J10" i="31"/>
  <c r="K10" i="31"/>
  <c r="L10" i="31"/>
  <c r="M10" i="31"/>
  <c r="N10" i="31"/>
  <c r="D2" i="31"/>
  <c r="E2" i="31"/>
  <c r="F2" i="31"/>
  <c r="G2" i="31"/>
  <c r="H2" i="31"/>
  <c r="H18" i="31"/>
  <c r="I2" i="31"/>
  <c r="I18" i="31" s="1"/>
  <c r="J2" i="31"/>
  <c r="K2" i="31"/>
  <c r="K18" i="31" s="1"/>
  <c r="L2" i="31"/>
  <c r="L18" i="31" s="1"/>
  <c r="M2" i="31"/>
  <c r="N2" i="31"/>
  <c r="D10" i="31"/>
  <c r="D18" i="31" s="1"/>
  <c r="C54" i="31"/>
  <c r="C11" i="31"/>
  <c r="C10" i="31"/>
  <c r="C3" i="31"/>
  <c r="C2" i="31" s="1"/>
  <c r="I21" i="31"/>
  <c r="H21" i="31"/>
  <c r="H25" i="31" s="1"/>
  <c r="C21" i="31"/>
  <c r="O57" i="31"/>
  <c r="O42" i="31"/>
  <c r="N41" i="31"/>
  <c r="K41" i="31"/>
  <c r="J41" i="31"/>
  <c r="I41" i="31"/>
  <c r="G41" i="31"/>
  <c r="F41" i="31"/>
  <c r="D41" i="31"/>
  <c r="C41" i="31"/>
  <c r="N32" i="31"/>
  <c r="M32" i="31"/>
  <c r="L32" i="31"/>
  <c r="K32" i="31"/>
  <c r="J32" i="31"/>
  <c r="H32" i="31"/>
  <c r="F32" i="31"/>
  <c r="E32" i="31"/>
  <c r="D32" i="31"/>
  <c r="C32" i="31"/>
  <c r="N28" i="31"/>
  <c r="M28" i="31"/>
  <c r="K28" i="31"/>
  <c r="J28" i="31"/>
  <c r="I28" i="31"/>
  <c r="H28" i="31"/>
  <c r="G28" i="31"/>
  <c r="F28" i="31"/>
  <c r="E28" i="31"/>
  <c r="D28" i="31"/>
  <c r="C28" i="31"/>
  <c r="I26" i="31"/>
  <c r="O22" i="31"/>
  <c r="N21" i="31"/>
  <c r="N25" i="31" s="1"/>
  <c r="M21" i="31"/>
  <c r="M20" i="31"/>
  <c r="M24" i="31" s="1"/>
  <c r="K21" i="31"/>
  <c r="J21" i="31"/>
  <c r="J20" i="31" s="1"/>
  <c r="J24" i="31" s="1"/>
  <c r="G21" i="31"/>
  <c r="G25" i="31"/>
  <c r="F21" i="31"/>
  <c r="F20" i="31" s="1"/>
  <c r="F24" i="31" s="1"/>
  <c r="E21" i="31"/>
  <c r="E20" i="31" s="1"/>
  <c r="E24" i="31" s="1"/>
  <c r="D21" i="31"/>
  <c r="O16" i="31"/>
  <c r="O15" i="31"/>
  <c r="O14" i="31"/>
  <c r="O13" i="31"/>
  <c r="O12" i="31"/>
  <c r="O8" i="31"/>
  <c r="O7" i="31"/>
  <c r="O6" i="31"/>
  <c r="O5" i="31"/>
  <c r="O4" i="31"/>
  <c r="I32" i="18"/>
  <c r="O11" i="31"/>
  <c r="D20" i="38"/>
  <c r="D24" i="38" s="1"/>
  <c r="H20" i="38"/>
  <c r="H24" i="38" s="1"/>
  <c r="E30" i="53" s="1"/>
  <c r="I32" i="38"/>
  <c r="E36" i="54" s="1"/>
  <c r="M20" i="38"/>
  <c r="M24" i="38" s="1"/>
  <c r="O33" i="31"/>
  <c r="M25" i="31"/>
  <c r="K20" i="31"/>
  <c r="K24" i="31" s="1"/>
  <c r="O3" i="38"/>
  <c r="L25" i="31"/>
  <c r="E20" i="38"/>
  <c r="E24" i="38" s="1"/>
  <c r="G20" i="31"/>
  <c r="G24" i="31" s="1"/>
  <c r="E30" i="52" s="1"/>
  <c r="D18" i="18"/>
  <c r="F18" i="31"/>
  <c r="O10" i="31"/>
  <c r="K18" i="38"/>
  <c r="F20" i="38"/>
  <c r="F24" i="38" s="1"/>
  <c r="F20" i="18"/>
  <c r="G12" i="18"/>
  <c r="I12" i="18" s="1"/>
  <c r="G18" i="18"/>
  <c r="D25" i="38"/>
  <c r="E31" i="49" s="1"/>
  <c r="D2" i="38"/>
  <c r="H20" i="31"/>
  <c r="H24" i="31" s="1"/>
  <c r="F37" i="18"/>
  <c r="C41" i="38"/>
  <c r="C25" i="38"/>
  <c r="G18" i="31"/>
  <c r="E18" i="38"/>
  <c r="O5" i="38"/>
  <c r="I18" i="38"/>
  <c r="F25" i="31"/>
  <c r="N20" i="31"/>
  <c r="N24" i="31" s="1"/>
  <c r="O13" i="38"/>
  <c r="O26" i="38" s="1"/>
  <c r="D10" i="38"/>
  <c r="D18" i="38" s="1"/>
  <c r="J25" i="31"/>
  <c r="G32" i="31"/>
  <c r="I13" i="18"/>
  <c r="K25" i="31"/>
  <c r="C18" i="31"/>
  <c r="E12" i="18"/>
  <c r="D36" i="52"/>
  <c r="F36" i="52" s="1"/>
  <c r="D26" i="50"/>
  <c r="D31" i="50"/>
  <c r="F31" i="50" s="1"/>
  <c r="G18" i="48"/>
  <c r="K18" i="48"/>
  <c r="D45" i="56"/>
  <c r="F45" i="56"/>
  <c r="D45" i="55"/>
  <c r="F45" i="55" s="1"/>
  <c r="J18" i="48"/>
  <c r="D36" i="54"/>
  <c r="F36" i="54"/>
  <c r="D45" i="54"/>
  <c r="F45" i="54" s="1"/>
  <c r="O21" i="48"/>
  <c r="O25" i="48" s="1"/>
  <c r="D45" i="57"/>
  <c r="F45" i="57"/>
  <c r="O50" i="31" l="1"/>
  <c r="H41" i="31"/>
  <c r="O2" i="31"/>
  <c r="H13" i="50"/>
  <c r="I13" i="50" s="1"/>
  <c r="H14" i="59"/>
  <c r="I14" i="59" s="1"/>
  <c r="H13" i="59"/>
  <c r="H14" i="57"/>
  <c r="I14" i="57" s="1"/>
  <c r="H14" i="53"/>
  <c r="H13" i="49"/>
  <c r="F18" i="53"/>
  <c r="I34" i="57"/>
  <c r="G32" i="58"/>
  <c r="F30" i="52"/>
  <c r="O10" i="38"/>
  <c r="O2" i="38"/>
  <c r="O3" i="31"/>
  <c r="H19" i="59"/>
  <c r="H19" i="49"/>
  <c r="F36" i="59"/>
  <c r="I22" i="51"/>
  <c r="G18" i="51"/>
  <c r="G24" i="51" s="1"/>
  <c r="D27" i="53"/>
  <c r="H25" i="48"/>
  <c r="H20" i="48"/>
  <c r="H24" i="48" s="1"/>
  <c r="D30" i="53" s="1"/>
  <c r="G12" i="53"/>
  <c r="I16" i="53"/>
  <c r="E32" i="57"/>
  <c r="E12" i="57"/>
  <c r="I15" i="58"/>
  <c r="G12" i="58"/>
  <c r="G24" i="58" s="1"/>
  <c r="O18" i="31"/>
  <c r="H36" i="18"/>
  <c r="E25" i="31"/>
  <c r="H45" i="52"/>
  <c r="H45" i="59"/>
  <c r="H45" i="49"/>
  <c r="H45" i="18"/>
  <c r="H45" i="51"/>
  <c r="E45" i="18"/>
  <c r="O28" i="38"/>
  <c r="I37" i="49"/>
  <c r="F14" i="52"/>
  <c r="G27" i="59"/>
  <c r="G27" i="18"/>
  <c r="G26" i="18" s="1"/>
  <c r="C20" i="48"/>
  <c r="C24" i="48" s="1"/>
  <c r="G27" i="52"/>
  <c r="G27" i="51"/>
  <c r="G27" i="49"/>
  <c r="G27" i="55"/>
  <c r="D27" i="49"/>
  <c r="F27" i="49" s="1"/>
  <c r="D20" i="48"/>
  <c r="D24" i="48" s="1"/>
  <c r="D27" i="57"/>
  <c r="D26" i="57" s="1"/>
  <c r="N18" i="31"/>
  <c r="J18" i="31"/>
  <c r="N20" i="38"/>
  <c r="N24" i="38" s="1"/>
  <c r="E30" i="59" s="1"/>
  <c r="F30" i="59" s="1"/>
  <c r="K25" i="38"/>
  <c r="E31" i="56" s="1"/>
  <c r="N25" i="38"/>
  <c r="E31" i="59" s="1"/>
  <c r="O41" i="38"/>
  <c r="E27" i="18"/>
  <c r="H27" i="59"/>
  <c r="H21" i="51"/>
  <c r="I21" i="51" s="1"/>
  <c r="H21" i="59"/>
  <c r="H39" i="59"/>
  <c r="H36" i="59" s="1"/>
  <c r="I14" i="18"/>
  <c r="G41" i="59"/>
  <c r="I41" i="59" s="1"/>
  <c r="F39" i="49"/>
  <c r="F21" i="50"/>
  <c r="I15" i="50"/>
  <c r="F39" i="50"/>
  <c r="G18" i="49"/>
  <c r="F45" i="49"/>
  <c r="I15" i="51"/>
  <c r="G12" i="52"/>
  <c r="I37" i="52"/>
  <c r="D12" i="53"/>
  <c r="E12" i="53"/>
  <c r="E24" i="53" s="1"/>
  <c r="E18" i="53"/>
  <c r="H36" i="53"/>
  <c r="D18" i="54"/>
  <c r="F18" i="54" s="1"/>
  <c r="I16" i="54"/>
  <c r="G18" i="54"/>
  <c r="E32" i="55"/>
  <c r="F20" i="57"/>
  <c r="I20" i="57"/>
  <c r="O26" i="31"/>
  <c r="O32" i="31"/>
  <c r="O41" i="31"/>
  <c r="F36" i="50"/>
  <c r="F45" i="58"/>
  <c r="O10" i="48"/>
  <c r="D34" i="18"/>
  <c r="F45" i="18"/>
  <c r="D12" i="49"/>
  <c r="I16" i="18"/>
  <c r="I22" i="18"/>
  <c r="G39" i="18"/>
  <c r="G12" i="50"/>
  <c r="G12" i="51"/>
  <c r="I20" i="51"/>
  <c r="F16" i="52"/>
  <c r="G27" i="53"/>
  <c r="M25" i="48"/>
  <c r="I20" i="53"/>
  <c r="F37" i="53"/>
  <c r="F13" i="54"/>
  <c r="D12" i="54"/>
  <c r="F12" i="54" s="1"/>
  <c r="D18" i="55"/>
  <c r="F18" i="55" s="1"/>
  <c r="I28" i="55"/>
  <c r="F13" i="56"/>
  <c r="I15" i="56"/>
  <c r="F37" i="57"/>
  <c r="F41" i="57"/>
  <c r="G12" i="57"/>
  <c r="H39" i="57"/>
  <c r="E12" i="58"/>
  <c r="F41" i="58"/>
  <c r="D32" i="49"/>
  <c r="F32" i="49" s="1"/>
  <c r="F37" i="49"/>
  <c r="O28" i="48"/>
  <c r="F32" i="50"/>
  <c r="E27" i="50"/>
  <c r="E26" i="50" s="1"/>
  <c r="F26" i="50" s="1"/>
  <c r="I28" i="49"/>
  <c r="G24" i="52"/>
  <c r="E18" i="52"/>
  <c r="F37" i="52"/>
  <c r="D26" i="58"/>
  <c r="F19" i="54"/>
  <c r="E24" i="55"/>
  <c r="F22" i="56"/>
  <c r="I20" i="56"/>
  <c r="G37" i="58"/>
  <c r="G37" i="59"/>
  <c r="D31" i="59"/>
  <c r="F31" i="59" s="1"/>
  <c r="G45" i="59"/>
  <c r="I45" i="59" s="1"/>
  <c r="D45" i="59"/>
  <c r="F45" i="59" s="1"/>
  <c r="F12" i="59"/>
  <c r="G24" i="59"/>
  <c r="D24" i="59"/>
  <c r="F24" i="59" s="1"/>
  <c r="O54" i="48"/>
  <c r="O26" i="48"/>
  <c r="E26" i="18"/>
  <c r="F27" i="18"/>
  <c r="G45" i="56"/>
  <c r="G45" i="55"/>
  <c r="G45" i="54"/>
  <c r="G45" i="57"/>
  <c r="I27" i="52"/>
  <c r="G31" i="52"/>
  <c r="G26" i="52"/>
  <c r="G31" i="53"/>
  <c r="G26" i="53"/>
  <c r="H19" i="57"/>
  <c r="H19" i="56"/>
  <c r="H19" i="58"/>
  <c r="H19" i="52"/>
  <c r="H19" i="51"/>
  <c r="H19" i="53"/>
  <c r="H18" i="53" s="1"/>
  <c r="H19" i="55"/>
  <c r="I19" i="55" s="1"/>
  <c r="H19" i="54"/>
  <c r="H19" i="50"/>
  <c r="E19" i="49"/>
  <c r="O11" i="38"/>
  <c r="E27" i="53"/>
  <c r="H25" i="38"/>
  <c r="E31" i="53" s="1"/>
  <c r="E27" i="54"/>
  <c r="E26" i="54" s="1"/>
  <c r="I20" i="38"/>
  <c r="I24" i="38" s="1"/>
  <c r="H41" i="58"/>
  <c r="H41" i="56"/>
  <c r="E41" i="56"/>
  <c r="F41" i="56" s="1"/>
  <c r="H41" i="57"/>
  <c r="O37" i="38"/>
  <c r="K32" i="38"/>
  <c r="E36" i="56" s="1"/>
  <c r="F36" i="56" s="1"/>
  <c r="E27" i="57"/>
  <c r="E26" i="57" s="1"/>
  <c r="L25" i="38"/>
  <c r="E31" i="57" s="1"/>
  <c r="L20" i="38"/>
  <c r="L24" i="38" s="1"/>
  <c r="E21" i="49"/>
  <c r="F21" i="49" s="1"/>
  <c r="F41" i="49"/>
  <c r="D12" i="50"/>
  <c r="F13" i="50"/>
  <c r="E12" i="50"/>
  <c r="E18" i="50"/>
  <c r="F18" i="50" s="1"/>
  <c r="F27" i="50"/>
  <c r="H21" i="50"/>
  <c r="I21" i="50" s="1"/>
  <c r="F32" i="48"/>
  <c r="D36" i="51" s="1"/>
  <c r="F36" i="51" s="1"/>
  <c r="D39" i="51"/>
  <c r="F39" i="51" s="1"/>
  <c r="G39" i="55"/>
  <c r="F13" i="52"/>
  <c r="D12" i="52"/>
  <c r="D18" i="52"/>
  <c r="F18" i="52" s="1"/>
  <c r="F19" i="52"/>
  <c r="E12" i="52"/>
  <c r="E24" i="52" s="1"/>
  <c r="I14" i="53"/>
  <c r="G31" i="55"/>
  <c r="G26" i="55"/>
  <c r="H31" i="18"/>
  <c r="E31" i="18"/>
  <c r="O18" i="38"/>
  <c r="I20" i="31"/>
  <c r="I24" i="31" s="1"/>
  <c r="I25" i="31"/>
  <c r="D30" i="55"/>
  <c r="D30" i="54"/>
  <c r="D36" i="18"/>
  <c r="F36" i="18" s="1"/>
  <c r="O32" i="48"/>
  <c r="D32" i="18"/>
  <c r="D26" i="18"/>
  <c r="I28" i="53"/>
  <c r="H32" i="53"/>
  <c r="I32" i="53" s="1"/>
  <c r="O54" i="31"/>
  <c r="G45" i="52"/>
  <c r="I45" i="52" s="1"/>
  <c r="O32" i="38"/>
  <c r="C20" i="31"/>
  <c r="C25" i="31"/>
  <c r="O21" i="31"/>
  <c r="O25" i="31" s="1"/>
  <c r="E18" i="31"/>
  <c r="H27" i="57"/>
  <c r="H27" i="56"/>
  <c r="H27" i="55"/>
  <c r="I27" i="55" s="1"/>
  <c r="H27" i="58"/>
  <c r="H27" i="54"/>
  <c r="H27" i="53"/>
  <c r="H27" i="52"/>
  <c r="H27" i="51"/>
  <c r="H27" i="49"/>
  <c r="H27" i="50"/>
  <c r="O21" i="38"/>
  <c r="C20" i="38"/>
  <c r="H21" i="58"/>
  <c r="H21" i="54"/>
  <c r="H32" i="54" s="1"/>
  <c r="H21" i="55"/>
  <c r="H21" i="57"/>
  <c r="I21" i="57" s="1"/>
  <c r="H21" i="56"/>
  <c r="H21" i="53"/>
  <c r="I21" i="53" s="1"/>
  <c r="H21" i="52"/>
  <c r="H32" i="52" s="1"/>
  <c r="H21" i="49"/>
  <c r="H32" i="49" s="1"/>
  <c r="J20" i="38"/>
  <c r="J24" i="38" s="1"/>
  <c r="E27" i="55"/>
  <c r="E26" i="55" s="1"/>
  <c r="H39" i="58"/>
  <c r="H39" i="54"/>
  <c r="H36" i="54" s="1"/>
  <c r="E39" i="54"/>
  <c r="F39" i="54" s="1"/>
  <c r="H39" i="56"/>
  <c r="C18" i="48"/>
  <c r="F30" i="53"/>
  <c r="D12" i="18"/>
  <c r="D31" i="18"/>
  <c r="F13" i="18"/>
  <c r="E18" i="18"/>
  <c r="F18" i="18" s="1"/>
  <c r="I19" i="18"/>
  <c r="H18" i="18"/>
  <c r="I19" i="49"/>
  <c r="I22" i="49"/>
  <c r="H12" i="50"/>
  <c r="I12" i="50" s="1"/>
  <c r="G32" i="49"/>
  <c r="D32" i="51"/>
  <c r="F45" i="51"/>
  <c r="D24" i="53"/>
  <c r="F24" i="53" s="1"/>
  <c r="F36" i="53"/>
  <c r="E45" i="53"/>
  <c r="F45" i="53" s="1"/>
  <c r="F31" i="54"/>
  <c r="D32" i="56"/>
  <c r="D12" i="56"/>
  <c r="G24" i="18"/>
  <c r="D24" i="54"/>
  <c r="F24" i="54" s="1"/>
  <c r="D20" i="31"/>
  <c r="D24" i="31" s="1"/>
  <c r="D25" i="31"/>
  <c r="M18" i="31"/>
  <c r="O54" i="38"/>
  <c r="E32" i="18"/>
  <c r="G41" i="55"/>
  <c r="I41" i="55" s="1"/>
  <c r="G41" i="54"/>
  <c r="I41" i="54" s="1"/>
  <c r="G41" i="58"/>
  <c r="I41" i="58" s="1"/>
  <c r="G41" i="49"/>
  <c r="I41" i="49" s="1"/>
  <c r="G41" i="18"/>
  <c r="I41" i="18" s="1"/>
  <c r="G41" i="57"/>
  <c r="G41" i="53"/>
  <c r="I41" i="53" s="1"/>
  <c r="G41" i="50"/>
  <c r="I41" i="50" s="1"/>
  <c r="G41" i="52"/>
  <c r="I41" i="52" s="1"/>
  <c r="G41" i="51"/>
  <c r="I41" i="51" s="1"/>
  <c r="G41" i="56"/>
  <c r="I41" i="56" s="1"/>
  <c r="D41" i="18"/>
  <c r="F41" i="18" s="1"/>
  <c r="O37" i="48"/>
  <c r="D18" i="49"/>
  <c r="D31" i="49"/>
  <c r="F31" i="49" s="1"/>
  <c r="D26" i="49"/>
  <c r="F26" i="49" s="1"/>
  <c r="G12" i="49"/>
  <c r="I15" i="49"/>
  <c r="H27" i="18"/>
  <c r="G36" i="18"/>
  <c r="I36" i="18" s="1"/>
  <c r="G26" i="50"/>
  <c r="I28" i="50"/>
  <c r="I22" i="50"/>
  <c r="G18" i="50"/>
  <c r="I38" i="50"/>
  <c r="F18" i="51"/>
  <c r="I21" i="52"/>
  <c r="G32" i="52"/>
  <c r="I32" i="52" s="1"/>
  <c r="D27" i="52"/>
  <c r="G27" i="56"/>
  <c r="G25" i="48"/>
  <c r="K20" i="48"/>
  <c r="K24" i="48" s="1"/>
  <c r="D27" i="56"/>
  <c r="G45" i="53"/>
  <c r="D26" i="54"/>
  <c r="F31" i="55"/>
  <c r="D31" i="57"/>
  <c r="F31" i="57" s="1"/>
  <c r="I28" i="57"/>
  <c r="F36" i="58"/>
  <c r="O2" i="48"/>
  <c r="O18" i="48" s="1"/>
  <c r="O41" i="48"/>
  <c r="G39" i="56"/>
  <c r="G39" i="54"/>
  <c r="G39" i="58"/>
  <c r="G39" i="57"/>
  <c r="I39" i="57" s="1"/>
  <c r="G39" i="52"/>
  <c r="I39" i="52" s="1"/>
  <c r="G39" i="51"/>
  <c r="I39" i="51" s="1"/>
  <c r="E13" i="49"/>
  <c r="E45" i="50"/>
  <c r="F45" i="50" s="1"/>
  <c r="H45" i="50"/>
  <c r="D24" i="51"/>
  <c r="H32" i="51"/>
  <c r="I32" i="51" s="1"/>
  <c r="I28" i="51"/>
  <c r="F27" i="55"/>
  <c r="D26" i="55"/>
  <c r="F26" i="55" s="1"/>
  <c r="F16" i="56"/>
  <c r="E12" i="56"/>
  <c r="E24" i="56" s="1"/>
  <c r="E18" i="58"/>
  <c r="F19" i="58"/>
  <c r="H45" i="58"/>
  <c r="H45" i="54"/>
  <c r="H45" i="57"/>
  <c r="H45" i="56"/>
  <c r="H45" i="55"/>
  <c r="H45" i="53"/>
  <c r="H13" i="57"/>
  <c r="H14" i="56"/>
  <c r="I14" i="56" s="1"/>
  <c r="H13" i="54"/>
  <c r="H14" i="58"/>
  <c r="I14" i="58" s="1"/>
  <c r="H13" i="56"/>
  <c r="H13" i="58"/>
  <c r="H14" i="55"/>
  <c r="H13" i="52"/>
  <c r="H13" i="51"/>
  <c r="H13" i="55"/>
  <c r="H12" i="55" s="1"/>
  <c r="H37" i="56"/>
  <c r="E37" i="56"/>
  <c r="F37" i="56" s="1"/>
  <c r="H37" i="57"/>
  <c r="H37" i="58"/>
  <c r="H36" i="58" s="1"/>
  <c r="G45" i="58"/>
  <c r="I45" i="58" s="1"/>
  <c r="G45" i="18"/>
  <c r="I45" i="18" s="1"/>
  <c r="G45" i="51"/>
  <c r="I45" i="51" s="1"/>
  <c r="G45" i="50"/>
  <c r="I45" i="50" s="1"/>
  <c r="G45" i="49"/>
  <c r="H14" i="50"/>
  <c r="I14" i="50" s="1"/>
  <c r="H14" i="49"/>
  <c r="I14" i="49" s="1"/>
  <c r="G39" i="49"/>
  <c r="D31" i="51"/>
  <c r="F31" i="51" s="1"/>
  <c r="E12" i="51"/>
  <c r="E24" i="51" s="1"/>
  <c r="I14" i="51"/>
  <c r="H14" i="52"/>
  <c r="I14" i="52" s="1"/>
  <c r="I20" i="52"/>
  <c r="F26" i="58"/>
  <c r="G18" i="53"/>
  <c r="I19" i="53"/>
  <c r="H13" i="53"/>
  <c r="F39" i="53"/>
  <c r="G39" i="53"/>
  <c r="I39" i="53" s="1"/>
  <c r="G12" i="54"/>
  <c r="I19" i="54"/>
  <c r="I28" i="54"/>
  <c r="G32" i="54"/>
  <c r="I32" i="54" s="1"/>
  <c r="H14" i="54"/>
  <c r="E18" i="56"/>
  <c r="D12" i="58"/>
  <c r="F16" i="58"/>
  <c r="F22" i="58"/>
  <c r="D18" i="58"/>
  <c r="F18" i="58" s="1"/>
  <c r="I14" i="54"/>
  <c r="D12" i="55"/>
  <c r="F13" i="55"/>
  <c r="I13" i="55"/>
  <c r="G12" i="55"/>
  <c r="G24" i="55" s="1"/>
  <c r="G24" i="56"/>
  <c r="G27" i="54"/>
  <c r="G27" i="58"/>
  <c r="G27" i="57"/>
  <c r="I21" i="54"/>
  <c r="I14" i="55"/>
  <c r="F19" i="56"/>
  <c r="D18" i="56"/>
  <c r="D32" i="57"/>
  <c r="D12" i="57"/>
  <c r="E18" i="57"/>
  <c r="F18" i="57" s="1"/>
  <c r="F19" i="57"/>
  <c r="I22" i="57"/>
  <c r="G18" i="57"/>
  <c r="F27" i="58"/>
  <c r="D31" i="58"/>
  <c r="F31" i="58" s="1"/>
  <c r="N18" i="48"/>
  <c r="E18" i="49" l="1"/>
  <c r="I45" i="57"/>
  <c r="F12" i="53"/>
  <c r="G26" i="51"/>
  <c r="G30" i="51" s="1"/>
  <c r="G31" i="51"/>
  <c r="I27" i="59"/>
  <c r="G26" i="59"/>
  <c r="I26" i="59" s="1"/>
  <c r="G31" i="59"/>
  <c r="I13" i="49"/>
  <c r="H12" i="49"/>
  <c r="G26" i="49"/>
  <c r="G31" i="49"/>
  <c r="I19" i="59"/>
  <c r="H18" i="59"/>
  <c r="I45" i="49"/>
  <c r="E24" i="57"/>
  <c r="F24" i="51"/>
  <c r="F18" i="49"/>
  <c r="I41" i="57"/>
  <c r="O25" i="38"/>
  <c r="F19" i="49"/>
  <c r="I45" i="54"/>
  <c r="I21" i="59"/>
  <c r="H32" i="59"/>
  <c r="I32" i="59" s="1"/>
  <c r="I13" i="59"/>
  <c r="H12" i="59"/>
  <c r="I12" i="59" s="1"/>
  <c r="H31" i="59"/>
  <c r="H26" i="59"/>
  <c r="I45" i="53"/>
  <c r="E24" i="58"/>
  <c r="G36" i="50"/>
  <c r="I36" i="50" s="1"/>
  <c r="I12" i="49"/>
  <c r="I37" i="59"/>
  <c r="G36" i="59"/>
  <c r="I36" i="59" s="1"/>
  <c r="I39" i="59"/>
  <c r="D26" i="53"/>
  <c r="D31" i="53"/>
  <c r="F31" i="53" s="1"/>
  <c r="G30" i="59"/>
  <c r="G30" i="55"/>
  <c r="I27" i="54"/>
  <c r="G31" i="54"/>
  <c r="G26" i="54"/>
  <c r="G24" i="53"/>
  <c r="I18" i="53"/>
  <c r="I39" i="49"/>
  <c r="G36" i="49"/>
  <c r="I36" i="49" s="1"/>
  <c r="H12" i="58"/>
  <c r="I12" i="58" s="1"/>
  <c r="I13" i="58"/>
  <c r="I39" i="56"/>
  <c r="G36" i="56"/>
  <c r="O20" i="38"/>
  <c r="O24" i="38" s="1"/>
  <c r="C24" i="38"/>
  <c r="H26" i="51"/>
  <c r="I26" i="51" s="1"/>
  <c r="H31" i="51"/>
  <c r="I31" i="51" s="1"/>
  <c r="I27" i="51"/>
  <c r="H26" i="58"/>
  <c r="H31" i="58"/>
  <c r="H18" i="56"/>
  <c r="I19" i="56"/>
  <c r="G36" i="58"/>
  <c r="I36" i="58" s="1"/>
  <c r="H36" i="57"/>
  <c r="I37" i="57"/>
  <c r="I13" i="51"/>
  <c r="H12" i="51"/>
  <c r="I12" i="51" s="1"/>
  <c r="I13" i="56"/>
  <c r="H12" i="56"/>
  <c r="I12" i="56" s="1"/>
  <c r="H12" i="57"/>
  <c r="I12" i="57" s="1"/>
  <c r="I13" i="57"/>
  <c r="G36" i="53"/>
  <c r="I36" i="53" s="1"/>
  <c r="I27" i="56"/>
  <c r="G26" i="56"/>
  <c r="G31" i="56"/>
  <c r="G24" i="50"/>
  <c r="I18" i="50"/>
  <c r="I21" i="55"/>
  <c r="H32" i="55"/>
  <c r="I32" i="55" s="1"/>
  <c r="H26" i="52"/>
  <c r="I26" i="52" s="1"/>
  <c r="H31" i="52"/>
  <c r="I31" i="52" s="1"/>
  <c r="H26" i="55"/>
  <c r="H31" i="55"/>
  <c r="G36" i="52"/>
  <c r="I36" i="52" s="1"/>
  <c r="I31" i="55"/>
  <c r="I39" i="55"/>
  <c r="G36" i="55"/>
  <c r="I36" i="55" s="1"/>
  <c r="D24" i="50"/>
  <c r="F12" i="50"/>
  <c r="O20" i="48"/>
  <c r="O24" i="48" s="1"/>
  <c r="H18" i="50"/>
  <c r="H24" i="50" s="1"/>
  <c r="I19" i="50"/>
  <c r="H18" i="51"/>
  <c r="I19" i="51"/>
  <c r="H18" i="57"/>
  <c r="I19" i="57"/>
  <c r="I31" i="53"/>
  <c r="D24" i="49"/>
  <c r="G24" i="49"/>
  <c r="I18" i="57"/>
  <c r="G24" i="57"/>
  <c r="F18" i="56"/>
  <c r="G31" i="57"/>
  <c r="I27" i="57"/>
  <c r="G26" i="57"/>
  <c r="I37" i="58"/>
  <c r="F12" i="55"/>
  <c r="D24" i="55"/>
  <c r="F24" i="55" s="1"/>
  <c r="H12" i="53"/>
  <c r="I12" i="53" s="1"/>
  <c r="I13" i="53"/>
  <c r="H12" i="52"/>
  <c r="I12" i="52" s="1"/>
  <c r="I13" i="52"/>
  <c r="F12" i="51"/>
  <c r="E12" i="49"/>
  <c r="F13" i="49"/>
  <c r="I39" i="58"/>
  <c r="F26" i="57"/>
  <c r="F27" i="54"/>
  <c r="F27" i="56"/>
  <c r="D26" i="56"/>
  <c r="F26" i="56" s="1"/>
  <c r="D31" i="56"/>
  <c r="F31" i="56" s="1"/>
  <c r="F27" i="52"/>
  <c r="D26" i="52"/>
  <c r="F26" i="52" s="1"/>
  <c r="D31" i="52"/>
  <c r="F31" i="52" s="1"/>
  <c r="H26" i="18"/>
  <c r="I26" i="18" s="1"/>
  <c r="I27" i="18"/>
  <c r="G36" i="51"/>
  <c r="I36" i="51" s="1"/>
  <c r="I32" i="49"/>
  <c r="H24" i="18"/>
  <c r="I24" i="18" s="1"/>
  <c r="I18" i="18"/>
  <c r="F31" i="18"/>
  <c r="I31" i="18" s="1"/>
  <c r="H31" i="50"/>
  <c r="I31" i="50" s="1"/>
  <c r="H26" i="50"/>
  <c r="I26" i="50" s="1"/>
  <c r="I27" i="50"/>
  <c r="H31" i="53"/>
  <c r="H26" i="53"/>
  <c r="I26" i="53" s="1"/>
  <c r="H31" i="56"/>
  <c r="H26" i="56"/>
  <c r="E24" i="18"/>
  <c r="I27" i="53"/>
  <c r="D24" i="52"/>
  <c r="F24" i="52" s="1"/>
  <c r="F12" i="52"/>
  <c r="E30" i="57"/>
  <c r="E30" i="58"/>
  <c r="F30" i="58" s="1"/>
  <c r="E26" i="53"/>
  <c r="F26" i="53" s="1"/>
  <c r="F27" i="53"/>
  <c r="H18" i="54"/>
  <c r="I19" i="52"/>
  <c r="H18" i="52"/>
  <c r="H32" i="50"/>
  <c r="I32" i="50" s="1"/>
  <c r="I45" i="55"/>
  <c r="H18" i="49"/>
  <c r="G30" i="52"/>
  <c r="D24" i="57"/>
  <c r="F24" i="57" s="1"/>
  <c r="F12" i="57"/>
  <c r="G31" i="58"/>
  <c r="I31" i="58" s="1"/>
  <c r="I27" i="58"/>
  <c r="G26" i="58"/>
  <c r="G36" i="57"/>
  <c r="I36" i="57" s="1"/>
  <c r="I12" i="55"/>
  <c r="F12" i="58"/>
  <c r="D24" i="58"/>
  <c r="F24" i="58" s="1"/>
  <c r="G24" i="54"/>
  <c r="I37" i="56"/>
  <c r="H36" i="56"/>
  <c r="H12" i="54"/>
  <c r="I12" i="54" s="1"/>
  <c r="I13" i="54"/>
  <c r="G36" i="54"/>
  <c r="I36" i="54" s="1"/>
  <c r="I39" i="54"/>
  <c r="H32" i="57"/>
  <c r="I32" i="57" s="1"/>
  <c r="F27" i="57"/>
  <c r="F26" i="54"/>
  <c r="D30" i="57"/>
  <c r="F30" i="57" s="1"/>
  <c r="D30" i="56"/>
  <c r="F30" i="56" s="1"/>
  <c r="I21" i="49"/>
  <c r="F12" i="56"/>
  <c r="D24" i="56"/>
  <c r="F24" i="56" s="1"/>
  <c r="D24" i="18"/>
  <c r="F24" i="18" s="1"/>
  <c r="F12" i="18"/>
  <c r="I21" i="56"/>
  <c r="H32" i="56"/>
  <c r="I32" i="56" s="1"/>
  <c r="H32" i="58"/>
  <c r="I32" i="58" s="1"/>
  <c r="I21" i="58"/>
  <c r="H31" i="49"/>
  <c r="I31" i="49" s="1"/>
  <c r="I27" i="49"/>
  <c r="H26" i="49"/>
  <c r="H31" i="54"/>
  <c r="H26" i="54"/>
  <c r="H31" i="57"/>
  <c r="H26" i="57"/>
  <c r="O20" i="31"/>
  <c r="O24" i="31" s="1"/>
  <c r="G30" i="18" s="1"/>
  <c r="C24" i="31"/>
  <c r="F26" i="18"/>
  <c r="I26" i="55"/>
  <c r="E24" i="50"/>
  <c r="E30" i="54"/>
  <c r="F30" i="54" s="1"/>
  <c r="E30" i="55"/>
  <c r="F30" i="55" s="1"/>
  <c r="H18" i="55"/>
  <c r="H18" i="58"/>
  <c r="I19" i="58"/>
  <c r="I45" i="56"/>
  <c r="F24" i="50" l="1"/>
  <c r="I31" i="54"/>
  <c r="H24" i="59"/>
  <c r="I18" i="59"/>
  <c r="I26" i="49"/>
  <c r="I26" i="56"/>
  <c r="I31" i="59"/>
  <c r="H24" i="58"/>
  <c r="I18" i="58"/>
  <c r="E30" i="49"/>
  <c r="E30" i="18"/>
  <c r="H30" i="18" s="1"/>
  <c r="E30" i="51"/>
  <c r="E30" i="50"/>
  <c r="I18" i="54"/>
  <c r="H24" i="54"/>
  <c r="H30" i="54" s="1"/>
  <c r="I31" i="57"/>
  <c r="G30" i="49"/>
  <c r="H24" i="57"/>
  <c r="H30" i="57" s="1"/>
  <c r="H30" i="50"/>
  <c r="I24" i="50"/>
  <c r="G30" i="50"/>
  <c r="I30" i="50" s="1"/>
  <c r="G30" i="53"/>
  <c r="H24" i="52"/>
  <c r="I18" i="52"/>
  <c r="I26" i="57"/>
  <c r="G30" i="57"/>
  <c r="H24" i="51"/>
  <c r="I18" i="51"/>
  <c r="H24" i="56"/>
  <c r="I18" i="56"/>
  <c r="D30" i="51"/>
  <c r="F30" i="51" s="1"/>
  <c r="D30" i="18"/>
  <c r="D30" i="49"/>
  <c r="D30" i="50"/>
  <c r="F30" i="50" s="1"/>
  <c r="I26" i="58"/>
  <c r="G30" i="58"/>
  <c r="H24" i="53"/>
  <c r="H30" i="53" s="1"/>
  <c r="H24" i="55"/>
  <c r="I18" i="55"/>
  <c r="G30" i="54"/>
  <c r="I30" i="54" s="1"/>
  <c r="H24" i="49"/>
  <c r="H30" i="49" s="1"/>
  <c r="I18" i="49"/>
  <c r="E24" i="49"/>
  <c r="F24" i="49" s="1"/>
  <c r="F12" i="49"/>
  <c r="I31" i="56"/>
  <c r="G30" i="56"/>
  <c r="I36" i="56"/>
  <c r="I26" i="54"/>
  <c r="I24" i="49" l="1"/>
  <c r="H30" i="59"/>
  <c r="I30" i="59" s="1"/>
  <c r="I24" i="59"/>
  <c r="I30" i="57"/>
  <c r="I24" i="54"/>
  <c r="I24" i="57"/>
  <c r="H30" i="55"/>
  <c r="I30" i="55" s="1"/>
  <c r="I24" i="55"/>
  <c r="H30" i="52"/>
  <c r="I30" i="52" s="1"/>
  <c r="I24" i="52"/>
  <c r="I30" i="49"/>
  <c r="F30" i="49"/>
  <c r="H30" i="56"/>
  <c r="I24" i="56"/>
  <c r="I30" i="53"/>
  <c r="H30" i="51"/>
  <c r="I30" i="51" s="1"/>
  <c r="I24" i="51"/>
  <c r="I30" i="56"/>
  <c r="F30" i="18"/>
  <c r="I30" i="18" s="1"/>
  <c r="I24" i="53"/>
  <c r="H30" i="58"/>
  <c r="I30" i="58" s="1"/>
  <c r="I24" i="58"/>
</calcChain>
</file>

<file path=xl/sharedStrings.xml><?xml version="1.0" encoding="utf-8"?>
<sst xmlns="http://schemas.openxmlformats.org/spreadsheetml/2006/main" count="723" uniqueCount="69">
  <si>
    <t>MONTH</t>
  </si>
  <si>
    <t>%</t>
  </si>
  <si>
    <t>Y-T-D</t>
  </si>
  <si>
    <t>Change</t>
  </si>
  <si>
    <t>PASSENGER ENPLANEMENTS</t>
  </si>
  <si>
    <t>United Airlines System Total</t>
  </si>
  <si>
    <t>Charters</t>
  </si>
  <si>
    <t>Air Mail</t>
  </si>
  <si>
    <t>LANDED WEIGHT (1,000 pound units)</t>
  </si>
  <si>
    <t xml:space="preserve"> </t>
  </si>
  <si>
    <t>United Express (SkyWest)</t>
  </si>
  <si>
    <t>Wendover Fun</t>
  </si>
  <si>
    <t>XtraAirways</t>
  </si>
  <si>
    <t>AVAILABLE SEATS</t>
  </si>
  <si>
    <t>LOAD FACTORS</t>
  </si>
  <si>
    <t>United Airlines</t>
  </si>
  <si>
    <t>Total</t>
  </si>
  <si>
    <t>COMMERCIAL AIRLINE RELIABILITY</t>
  </si>
  <si>
    <t>Ameriflight (UPS)</t>
  </si>
  <si>
    <t>Corporate Air (FedEx)</t>
  </si>
  <si>
    <t>Other Cargo</t>
  </si>
  <si>
    <t>Flights Scheduled</t>
  </si>
  <si>
    <t>Flights Completed</t>
  </si>
  <si>
    <t>SkyWest Airlines</t>
  </si>
  <si>
    <t>Xtra Airways</t>
  </si>
  <si>
    <t>Corporate Air</t>
  </si>
  <si>
    <t>Ameriflight</t>
  </si>
  <si>
    <t>Key Lime Air</t>
  </si>
  <si>
    <t>ExpressJet</t>
  </si>
  <si>
    <t>PASSENGER DEPLANEMENTS</t>
  </si>
  <si>
    <t>TOTAL PASSENGERS</t>
  </si>
  <si>
    <t>Wendover Fun System Total</t>
  </si>
  <si>
    <t>AIR CARGO  (Pounds)</t>
  </si>
  <si>
    <t>N/A</t>
  </si>
  <si>
    <t>AIR CARGO  (lbs.)</t>
  </si>
  <si>
    <t>NUMBER OF LANDINGS/DEPARTURES</t>
  </si>
  <si>
    <t>Swift Air</t>
  </si>
  <si>
    <t>Western Air Express (UPS)</t>
  </si>
  <si>
    <t>Alpine Air Express</t>
  </si>
  <si>
    <t>Alpine Air Express (UPS)</t>
  </si>
  <si>
    <t>Western Air Express</t>
  </si>
  <si>
    <t>LANDED WEIGHT (lbs)</t>
  </si>
  <si>
    <t>Gem Air (UPS)</t>
  </si>
  <si>
    <t>Gem Air</t>
  </si>
  <si>
    <t>AirMed</t>
  </si>
  <si>
    <t>Charters/Diversion</t>
  </si>
  <si>
    <t>Charters/Diversions</t>
  </si>
  <si>
    <t>Diversions</t>
  </si>
  <si>
    <t>DL4728</t>
  </si>
  <si>
    <t>Arrive</t>
  </si>
  <si>
    <t>Depart</t>
  </si>
  <si>
    <t>A/C Type</t>
  </si>
  <si>
    <t>CRJ-900</t>
  </si>
  <si>
    <t>Landed Weight</t>
  </si>
  <si>
    <t>Px Deplaned</t>
  </si>
  <si>
    <t>Px Enplaned</t>
  </si>
  <si>
    <t>January 2019                                                                                                                                    PASSENGER AND AIR CARGO STATISTICS</t>
  </si>
  <si>
    <t>LANDED WEIGHT</t>
  </si>
  <si>
    <t>February 2019                                                                                                                                    PASSENGER AND AIR CARGO STATISTICS</t>
  </si>
  <si>
    <t>March 2019                                                                                                                                    PASSENGER AND AIR CARGO STATISTICS</t>
  </si>
  <si>
    <t>April 2019                                                                                                                                    PASSENGER AND AIR CARGO STATISTICS</t>
  </si>
  <si>
    <t>May 2019                                                                                                                                    PASSENGER AND AIR CARGO STATISTICS</t>
  </si>
  <si>
    <t>June 2019                                                                                                                                    PASSENGER AND AIR CARGO STATISTICS</t>
  </si>
  <si>
    <t>July 2019                                                                                                                                    PASSENGER AND AIR CARGO STATISTICS</t>
  </si>
  <si>
    <t>August 2019                                                                                                                                    PASSENGER AND AIR CARGO STATISTICS</t>
  </si>
  <si>
    <t>September 2019                                                                                                                                    PASSENGER AND AIR CARGO STATISTICS</t>
  </si>
  <si>
    <t>October 2019                                                                                                                                    PASSENGER AND AIR CARGO STATISTICS</t>
  </si>
  <si>
    <t>November 2019                                                                                                                                    PASSENGER AND AIR CARGO STATISTICS</t>
  </si>
  <si>
    <t>December 2019                                                                                                                                    PASSENGER AND AIR CARGO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</si>
</sst>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</numFmts>
  <fonts count="25" x14ac:knownFonts="1">
    <font>
      <sz val="10"/>
      <name val="Arial"/>
    </font>
    <font>
      <sz val="10"/>
      <name val="Arial"/>
      <family val="2"/>
    </font>
    <font>
      <b/>
      <i/>
      <sz val="22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indexed="18"/>
      <name val="Arial"/>
      <family val="2"/>
    </font>
    <font>
      <b/>
      <sz val="12"/>
      <name val="Arial"/>
      <family val="2"/>
    </font>
    <font>
      <b/>
      <sz val="14"/>
      <name val="Book Antiqua"/>
      <family val="1"/>
    </font>
    <font>
      <sz val="11"/>
      <name val="Book Antiqua"/>
      <family val="1"/>
    </font>
    <font>
      <b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9" fontId="3" fillId="0" borderId="0" xfId="2" applyFont="1" applyAlignment="1">
      <alignment horizontal="right"/>
    </xf>
    <xf numFmtId="9" fontId="5" fillId="0" borderId="0" xfId="2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10" fontId="3" fillId="0" borderId="0" xfId="2" applyNumberFormat="1" applyFont="1" applyAlignment="1">
      <alignment horizontal="right"/>
    </xf>
    <xf numFmtId="10" fontId="5" fillId="0" borderId="0" xfId="2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3" borderId="0" xfId="0" applyFont="1" applyFill="1"/>
    <xf numFmtId="3" fontId="14" fillId="3" borderId="0" xfId="0" applyNumberFormat="1" applyFont="1" applyFill="1" applyAlignment="1">
      <alignment horizontal="right"/>
    </xf>
    <xf numFmtId="10" fontId="14" fillId="3" borderId="0" xfId="2" applyNumberFormat="1" applyFont="1" applyFill="1" applyAlignment="1">
      <alignment horizontal="right"/>
    </xf>
    <xf numFmtId="0" fontId="14" fillId="0" borderId="0" xfId="0" applyFont="1"/>
    <xf numFmtId="3" fontId="14" fillId="0" borderId="0" xfId="0" applyNumberFormat="1" applyFont="1" applyAlignment="1">
      <alignment horizontal="right"/>
    </xf>
    <xf numFmtId="10" fontId="14" fillId="0" borderId="0" xfId="2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5" borderId="0" xfId="0" applyFont="1" applyFill="1"/>
    <xf numFmtId="3" fontId="14" fillId="5" borderId="0" xfId="0" applyNumberFormat="1" applyFont="1" applyFill="1" applyAlignment="1">
      <alignment horizontal="right"/>
    </xf>
    <xf numFmtId="10" fontId="14" fillId="5" borderId="0" xfId="2" applyNumberFormat="1" applyFont="1" applyFill="1" applyAlignment="1">
      <alignment horizontal="right"/>
    </xf>
    <xf numFmtId="9" fontId="14" fillId="5" borderId="0" xfId="2" applyFont="1" applyFill="1" applyAlignment="1">
      <alignment horizontal="right"/>
    </xf>
    <xf numFmtId="9" fontId="14" fillId="3" borderId="0" xfId="2" applyFont="1" applyFill="1" applyAlignment="1">
      <alignment horizontal="right"/>
    </xf>
    <xf numFmtId="9" fontId="14" fillId="3" borderId="0" xfId="2" applyFont="1" applyFill="1"/>
    <xf numFmtId="3" fontId="14" fillId="3" borderId="0" xfId="0" applyNumberFormat="1" applyFont="1" applyFill="1"/>
    <xf numFmtId="3" fontId="15" fillId="0" borderId="0" xfId="0" applyNumberFormat="1" applyFont="1" applyAlignment="1">
      <alignment horizontal="right"/>
    </xf>
    <xf numFmtId="0" fontId="13" fillId="2" borderId="0" xfId="1" applyNumberFormat="1" applyFont="1" applyFill="1" applyAlignment="1">
      <alignment horizontal="center" vertical="center"/>
    </xf>
    <xf numFmtId="0" fontId="16" fillId="0" borderId="0" xfId="0" applyFont="1"/>
    <xf numFmtId="166" fontId="18" fillId="2" borderId="0" xfId="0" applyNumberFormat="1" applyFont="1" applyFill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2" borderId="0" xfId="0" applyNumberFormat="1" applyFont="1" applyFill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4" borderId="0" xfId="0" applyFont="1" applyFill="1"/>
    <xf numFmtId="3" fontId="18" fillId="4" borderId="0" xfId="0" applyNumberFormat="1" applyFont="1" applyFill="1" applyAlignment="1">
      <alignment horizontal="right"/>
    </xf>
    <xf numFmtId="3" fontId="18" fillId="4" borderId="0" xfId="2" applyNumberFormat="1" applyFont="1" applyFill="1" applyAlignment="1">
      <alignment horizontal="right"/>
    </xf>
    <xf numFmtId="0" fontId="18" fillId="0" borderId="0" xfId="0" applyFont="1"/>
    <xf numFmtId="3" fontId="18" fillId="0" borderId="0" xfId="0" applyNumberFormat="1" applyFont="1" applyAlignment="1">
      <alignment horizontal="right"/>
    </xf>
    <xf numFmtId="3" fontId="18" fillId="0" borderId="0" xfId="1" applyNumberFormat="1" applyFont="1" applyAlignment="1">
      <alignment horizontal="right"/>
    </xf>
    <xf numFmtId="3" fontId="18" fillId="0" borderId="0" xfId="1" applyNumberFormat="1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16" fillId="0" borderId="0" xfId="1" applyNumberFormat="1" applyFont="1" applyAlignment="1">
      <alignment horizontal="right"/>
    </xf>
    <xf numFmtId="3" fontId="16" fillId="0" borderId="0" xfId="1" applyNumberFormat="1" applyFont="1"/>
    <xf numFmtId="3" fontId="18" fillId="0" borderId="0" xfId="2" applyNumberFormat="1" applyFont="1" applyAlignment="1">
      <alignment horizontal="right"/>
    </xf>
    <xf numFmtId="3" fontId="18" fillId="0" borderId="0" xfId="0" applyNumberFormat="1" applyFont="1"/>
    <xf numFmtId="3" fontId="16" fillId="0" borderId="0" xfId="0" applyNumberFormat="1" applyFont="1"/>
    <xf numFmtId="165" fontId="16" fillId="0" borderId="0" xfId="1" applyNumberFormat="1" applyFont="1" applyAlignment="1">
      <alignment horizontal="right"/>
    </xf>
    <xf numFmtId="165" fontId="16" fillId="0" borderId="0" xfId="1" applyNumberFormat="1" applyFont="1"/>
    <xf numFmtId="165" fontId="18" fillId="0" borderId="0" xfId="1" applyNumberFormat="1" applyFont="1" applyAlignment="1">
      <alignment horizontal="right"/>
    </xf>
    <xf numFmtId="165" fontId="16" fillId="0" borderId="0" xfId="1" applyNumberFormat="1" applyFont="1" applyAlignment="1">
      <alignment horizontal="left"/>
    </xf>
    <xf numFmtId="165" fontId="20" fillId="0" borderId="0" xfId="1" applyNumberFormat="1" applyFont="1" applyAlignment="1">
      <alignment horizontal="left"/>
    </xf>
    <xf numFmtId="3" fontId="18" fillId="4" borderId="0" xfId="1" applyNumberFormat="1" applyFont="1" applyFill="1" applyAlignment="1">
      <alignment horizontal="right"/>
    </xf>
    <xf numFmtId="1" fontId="16" fillId="0" borderId="0" xfId="2" applyNumberFormat="1" applyFont="1" applyAlignment="1">
      <alignment horizontal="right"/>
    </xf>
    <xf numFmtId="9" fontId="18" fillId="0" borderId="0" xfId="2" applyFont="1" applyAlignment="1">
      <alignment horizontal="right"/>
    </xf>
    <xf numFmtId="0" fontId="20" fillId="0" borderId="0" xfId="0" applyFont="1" applyAlignment="1">
      <alignment horizontal="left"/>
    </xf>
    <xf numFmtId="165" fontId="18" fillId="4" borderId="0" xfId="1" applyNumberFormat="1" applyFont="1" applyFill="1" applyAlignment="1">
      <alignment horizontal="right"/>
    </xf>
    <xf numFmtId="2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" fontId="18" fillId="0" borderId="0" xfId="2" applyNumberFormat="1" applyFont="1" applyAlignment="1">
      <alignment horizontal="right"/>
    </xf>
    <xf numFmtId="1" fontId="18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9" fontId="18" fillId="4" borderId="0" xfId="2" applyFont="1" applyFill="1" applyAlignment="1">
      <alignment horizontal="right"/>
    </xf>
    <xf numFmtId="9" fontId="16" fillId="0" borderId="0" xfId="2" applyFont="1" applyAlignment="1">
      <alignment horizontal="right"/>
    </xf>
    <xf numFmtId="0" fontId="16" fillId="4" borderId="0" xfId="0" applyFont="1" applyFill="1"/>
    <xf numFmtId="164" fontId="18" fillId="4" borderId="0" xfId="2" applyNumberFormat="1" applyFont="1" applyFill="1" applyAlignment="1">
      <alignment horizontal="right"/>
    </xf>
    <xf numFmtId="3" fontId="16" fillId="0" borderId="0" xfId="2" applyNumberFormat="1" applyFont="1" applyAlignment="1">
      <alignment horizontal="right"/>
    </xf>
    <xf numFmtId="1" fontId="18" fillId="0" borderId="0" xfId="0" applyNumberFormat="1" applyFont="1"/>
    <xf numFmtId="1" fontId="16" fillId="0" borderId="0" xfId="0" applyNumberFormat="1" applyFont="1" applyAlignment="1">
      <alignment horizontal="right"/>
    </xf>
    <xf numFmtId="1" fontId="16" fillId="0" borderId="0" xfId="0" applyNumberFormat="1" applyFont="1"/>
    <xf numFmtId="164" fontId="21" fillId="0" borderId="0" xfId="0" applyNumberFormat="1" applyFont="1" applyAlignment="1">
      <alignment horizontal="center"/>
    </xf>
    <xf numFmtId="0" fontId="21" fillId="0" borderId="0" xfId="0" applyFont="1"/>
    <xf numFmtId="3" fontId="22" fillId="0" borderId="0" xfId="0" applyNumberFormat="1" applyFont="1"/>
    <xf numFmtId="0" fontId="22" fillId="0" borderId="0" xfId="0" applyFont="1"/>
    <xf numFmtId="10" fontId="22" fillId="0" borderId="0" xfId="2" applyNumberFormat="1" applyFont="1" applyAlignment="1">
      <alignment horizontal="right"/>
    </xf>
    <xf numFmtId="164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3" fillId="0" borderId="0" xfId="0" applyFont="1"/>
    <xf numFmtId="3" fontId="3" fillId="0" borderId="0" xfId="1" applyNumberFormat="1" applyFont="1" applyAlignment="1">
      <alignment horizontal="right"/>
    </xf>
    <xf numFmtId="3" fontId="5" fillId="0" borderId="0" xfId="1" applyNumberFormat="1" applyFont="1"/>
    <xf numFmtId="0" fontId="17" fillId="2" borderId="0" xfId="0" applyFont="1" applyFill="1" applyAlignment="1">
      <alignment horizontal="center"/>
    </xf>
    <xf numFmtId="14" fontId="16" fillId="0" borderId="0" xfId="0" applyNumberFormat="1" applyFont="1" applyAlignment="1">
      <alignment horizontal="right"/>
    </xf>
    <xf numFmtId="9" fontId="1" fillId="0" borderId="0" xfId="2" applyAlignment="1">
      <alignment horizontal="right"/>
    </xf>
    <xf numFmtId="0" fontId="3" fillId="4" borderId="0" xfId="0" applyFont="1" applyFill="1"/>
    <xf numFmtId="10" fontId="1" fillId="0" borderId="0" xfId="2" applyNumberForma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9" fontId="1" fillId="0" borderId="0" xfId="2" applyFill="1" applyAlignment="1">
      <alignment horizontal="right"/>
    </xf>
    <xf numFmtId="10" fontId="1" fillId="0" borderId="0" xfId="2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9" fontId="1" fillId="0" borderId="0" xfId="2" applyFon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0" fontId="14" fillId="3" borderId="0" xfId="2" applyNumberFormat="1" applyFont="1" applyFill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96EDC7-7E0E-4D6F-8DA8-6BB9FB81D02D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004FA-3202-4FB9-A897-5EBB9C471CAF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0DAB4A-DC0A-4499-99D7-3B4149611ED4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A36D0D-55B9-485C-A655-0C76F511EA70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A38A7E9-6615-4119-B276-55283BD065F0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A56E218-D9E0-44A8-8F14-D7EBB03CEBA6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B0233B1-400F-4498-87E0-A5E880FB4E86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BAA17F6-8CBE-4BD2-A70E-7F4F2B5DD0F6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60A57BC-9A8A-4B7B-A86F-484A2FE53555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E2312E-00F1-4215-A768-85A824853DDD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81DC76B-95EF-4EAE-8F9A-113E0394667A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2271C3C-516F-4ED7-8E52-3F92E7B67167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6033CF0-0A19-4B7D-8B24-FDC5DFC81AF7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21F9DFB-1743-4D37-AAED-DF5F76F88261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6AD60BB-8502-4D18-AD83-0DA032502CDC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8C3DA82-EA1A-4A95-AD63-32C1B908B7D1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9363F3F-E9E8-4A72-9779-27184AB656BD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C85EAC6-9CB1-4640-B507-781D0FF15E09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A0DB348-B49B-420F-BB22-96F82F6859CF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2272801-344A-4862-A772-623405D74A78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4867D49-F634-40F4-A109-22CF747DCB14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EBEC689-630F-4575-8A82-F73037CB483F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2C476BA-2C02-4040-B7A1-76D94998F71D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62ABF96-7691-4582-92F2-7A3F3A9A7811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30BC68C-6708-456A-BFB7-FCE05A3014D8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E5309F0-F836-4573-8251-E1309989D103}"/>
            </a:ext>
          </a:extLst>
        </xdr:cNvPr>
        <xdr:cNvSpPr txBox="1"/>
      </xdr:nvSpPr>
      <xdr:spPr>
        <a:xfrm>
          <a:off x="8239125" y="1924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306856" name="Picture 27">
          <a:extLst>
            <a:ext uri="{FF2B5EF4-FFF2-40B4-BE49-F238E27FC236}">
              <a16:creationId xmlns:a16="http://schemas.microsoft.com/office/drawing/2014/main" id="{4658E823-7E7C-480C-9499-360D923EE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C3DC3E-B4FC-4BC5-BDB7-3A52AEEB1FC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EBA0A8-4414-409B-BD83-94F9202606D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095E89-9545-4144-A8E6-C4D0A3341D4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04283D-82E7-4FD0-A5FB-5E0757EDF85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AB171E-F1A1-4E04-A925-7BD0AEC2571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D74645F-E407-49FC-852D-219BF96A4C8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93F5D2C-8BDD-4A18-A270-A34CB2006D9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92959BF-1429-402A-B7D9-3C7FDE753C0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120E0C3-B11B-4A9F-8A9C-11C04AB16C6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A044F90-71A6-4E7A-86F4-70C1B8122E9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58CE395-24C9-44B7-881B-312E2189D55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BFEFD55-7B95-405A-8F44-B70AEDAFB5A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3A7EE83-2F00-467E-BE31-492562073F9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8EF0C21-43F8-41F4-B230-B1947D1343A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83B191B-83D7-4167-B068-0ED78861797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27FB284-D8E2-4D87-A8C8-F454C76617D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4C362F7-8E18-4478-B86D-F55E1C2CF60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19A750F-3278-4326-90CC-A3BBAA3D032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2F027C4-DBF4-4B95-A625-855D293F023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4B57468-AEBF-49EE-83C6-842D9C3F649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FC0D43F-97EF-46DF-91CF-979FF3EF985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E24BA42-9748-4164-BD65-4E1493A033D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4D938A-945C-49F1-9D94-B0D196B5C3D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8B905C7-C5DC-468C-B98D-590532C7B6D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9C330AE-2BF6-4E51-9925-79FD7C595FD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4EBE8C1-A2D5-4CEB-874D-7421E01B9BC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A1F14E6-DD75-4710-A212-799A9DFF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23A81B-6754-4E04-85C3-35BF7C4141C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D2BDC0-BC6C-4F09-B974-2B5FA3EA5EE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AA3290-E23C-4B6E-BE6A-02A8F7A613D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2A25DF0-2A7C-4B55-864C-6A2A6F8F4F7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B96B1E-D851-4328-B31B-44392C0D97D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F7D6B8-5A8D-45E3-8C61-F30129D6F30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28FD3B9-0D91-4E8E-B9C6-7CC8ED44700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66DD3A1-6568-4EFF-AC69-C146593A93E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5825766-C49D-49F5-A27A-FF21F403732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B5AF467-03CD-4836-B365-1422D6D9860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D6D1410-6D86-477C-B634-229D0B33422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B5F3588-DA42-4BEB-B101-85F60584FC4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F2EC455-7369-4DC1-BC82-06F755431E0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04FAF45-266B-4464-8B57-5BAE9F282BC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83CEDA1-F9F1-48A3-9DAD-CA245FBA272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BB03A8A-794B-4079-BD31-2D107E034DE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1BAA8D7-7D2C-4E96-B480-A1595A5B55E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3252E46-0434-4B8E-836E-327682CAFD8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FA1C8E-C3DF-4437-8510-7B909A0DEEB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C1C4993-C90D-4409-8A5E-10694199C21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724BBB8-229A-433F-AD2D-168E5FDB418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881FCB6-066A-4FAF-829C-0F53EE19564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BA07F74-E36E-426F-8469-037A98AFB50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D9D2353-5F9A-45BE-9C1D-AAD17DABD1A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DEBD85D-C032-433A-BC3E-8C68E40D6AF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2D5C3E7-CDBB-402B-A29C-FCFEEC4DE3F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10BDD39-A3EA-4B15-B0BC-2B28091E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78E15A-75BF-4635-839C-447BB7E5F45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14B0B4-886C-49AB-BD2A-B05178783A4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CBEAB4-A7AF-4A03-96CB-10F52E70BC3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1EAD548-BECD-4FCC-94A7-A912CB5DA14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CAAFC2-B99B-4AD0-A22C-7A5898F4C36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C7F8EA0-260D-48A5-A597-C8709C3B8C9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BD39A02-5BF7-4E37-9009-4476C9FF47F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13B72C0-0329-41CA-80E2-264086BB2EF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A7FE668-E936-43C6-BFE8-CD69BBDFEA4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03B4317-8954-455A-B15F-F827791E3AE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E1EAFDC-D939-4B25-B47C-8955EDD3F84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FD945F9-76F0-4153-B894-2C1CF637BFA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8FDC475-3B50-48FE-8DA5-6228A528902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DFCCA18-49D9-4440-BF07-6C753068981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3F210E3-32F1-4D76-A4BB-B2D150F1406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5F76BE4-1718-400B-98CC-86C58E514DE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4120775-0C39-45C3-BA23-681BDB0C201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2421CC6-E26A-41EF-8843-B4BE275CBCB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A2E8C25-1D06-490A-9909-5DE17F86B94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C5EC281-D887-4CDC-B2C1-33A4126827B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ADAC75F-A33B-437A-89FD-C7E55AEEA43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DE1CF72-4692-4938-BEBF-3CE08EFBB30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0E5884-EAFA-460C-A7BA-8A813099C7C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8385797-01E3-4DF5-A6C6-3129ED57F92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6EB847E-A4DB-4419-8AF4-0946826C291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0D81D98-F49C-423B-A0BA-1FDBE7AC6CE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8D30993-AB71-4D1B-9F68-DFEC358C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79DC243-B8FE-438D-925F-BD91A3C608E5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0D828DE-7502-4053-9597-F545B5AB7454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49A6BC2-3BB2-4AD8-83BC-45E20467E5AC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25CE445-30FF-4661-B048-C7DB3FF732D8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D7A8AEC-D7B2-4677-AE10-1E0587B83541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DB88375-9F28-4662-A29F-BFA9D013AD04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3C864842-4717-4000-98A6-401E3EEBBBA5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DFD4229-37D2-4E31-BB93-B171F897832E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48CF6B9-E8B1-4719-BBA3-F0329336C88E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844E0EB-A70E-410E-98B8-0EB553299E30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DB8C155-CBCC-4D0C-8B01-2B556AE49C7C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DBCE8B5-DC2F-42C2-B3F1-4340D9598E53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D928C06-7894-4663-8C39-DBA73CF3E20D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AEC716F-6190-4865-8E4D-19BE9BEE0A27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E15A054-B758-467B-80AC-4A6C43A19FF8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5CDCB5F-32CA-4474-8FD3-AAEB2628C2DB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778F48-61E0-4752-BA83-C9C3D81D1F34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F0DCA5-1131-4C1B-A41F-179C7182CA97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5030B24-A6B9-45CF-B413-958B5A7C5D2A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3BEDD61-2617-48D1-B35B-8A3C58F9C6E7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82B3E024-B39A-4C1E-9A84-672D4A641211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7406B56-D7E9-42F6-BF37-80D007CB5928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60532-1AD2-49BF-8C28-825F0B11E26D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1BC2733-150E-4992-83A8-6260D3D28AC4}"/>
            </a:ext>
          </a:extLst>
        </xdr:cNvPr>
        <xdr:cNvSpPr txBox="1"/>
      </xdr:nvSpPr>
      <xdr:spPr>
        <a:xfrm>
          <a:off x="8553450" y="1552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E9F255D0-7B05-4F82-BAD0-A8B28D3758D7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053BCCB-6634-4F4B-BEB2-229EDA2B01F0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150006CD-211C-4FE7-9E5D-8262068D2DF3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861168-4D76-486C-894D-E6369AD5FF5F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FC63A97-8E5C-4A0B-9F66-7D6206FE0110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6760A76-EFD3-482E-BC3E-5D953C0F5B0B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B19C375F-1210-4076-9D53-32142A2C8089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1232D52-45BA-417E-9CAB-EA6E596CE30B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05A41CE-4A55-421B-BB37-2E6D2D2495AC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4CD71A6-5F5D-41ED-9D17-AC970A8D24FF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470F7B34-0B68-4429-A578-A5D254AB8877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335F889-CFCB-47EE-A5CA-46409F01DA34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3824D0F-11CD-4CCE-B67C-59D7D9B56D5C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2440F54-70AB-459C-871D-504FBAEFDEA5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63218BA-0238-4CE5-A4E6-65BCA7740F67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E2ACCE30-98BA-4CD1-A405-6BB1473C2E39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C7B23088-14AC-4A43-9143-63D72052E4E9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145EDB6-9EC2-4CFD-BEA6-52E2A2D98475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26F4BBEC-C8D3-47F6-91BC-F3CD3EDCD5C9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75F17AD1-433F-4D76-B159-5C20DEFCCFED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4253C301-DBFD-4933-B8E1-FDD89431DB7A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CEEE3B1-25A7-4398-917E-FDB803B8731D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F3B86DC-9527-4652-A33E-4F9BB79295CD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8C662D4-BA9F-4412-8C5F-85B5AEE11595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59DA1AF7-2AE8-4FE4-9B67-38368F4F2900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FE21895-2A80-40DD-A96F-5CDB6B8B3E55}"/>
            </a:ext>
          </a:extLst>
        </xdr:cNvPr>
        <xdr:cNvSpPr txBox="1"/>
      </xdr:nvSpPr>
      <xdr:spPr>
        <a:xfrm>
          <a:off x="85534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B801B3-8FCF-4C6E-A6E1-584ABA9359F6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12AE19-B3A7-438F-98A7-9F127BFB2561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C80357-69E3-4ADB-B2BB-AC74244A1C65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9C0EABB-B140-4DC0-9151-6E4618EE72FB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7D4063-F65F-49C9-A403-F1EFDB52302F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F69C499-4FB3-4079-B1DF-8612D710D15F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594EB0-A1BF-497C-95EC-1623DFFC23B4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AC12ABC-C230-4968-8729-1AE479C09E67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3F2D37-9152-48C7-B02A-DA2EFA9AFE8C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20B106F-EB4E-4353-BB66-E35394831A97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53F42B4-D4E8-4D5F-BA65-7FD4F27CBDF6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218E0B7-0115-464B-AF26-C58CC15F11EE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1618D7C-6FE2-47D4-9E06-B563759B5411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C12AB71-7C31-4381-AA81-FC73DCD881BD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C62918A-63BA-4BB8-B5C4-9D4BA7C8549C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421263D-6491-4A7A-B709-D95974732A5F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CC77F61-A1D0-4B04-8BCB-10E3A2F034F3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C09CDC-BC96-496A-BB04-DC841E3109E7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D3CF7BC-E847-4BF5-88F9-7612BC1767EF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C05BFBC-EF8F-4757-80A8-2277C0AE77B6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5F04E56-E4D8-4DCC-8A93-458DE0261EF3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4BA909E-1EF6-4BF2-BF3B-78BBFBE85AB2}"/>
            </a:ext>
          </a:extLst>
        </xdr:cNvPr>
        <xdr:cNvSpPr txBox="1"/>
      </xdr:nvSpPr>
      <xdr:spPr>
        <a:xfrm>
          <a:off x="8553450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752E0AC-D6E3-4505-A33C-AAB449BD7224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E1AA9CB-23BE-446B-8DE2-13C08133F4C2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BAFE533-2EA2-4CEB-9DAB-A397F6C7B10E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D4C7D7A-9C67-4BD8-9044-EEFAF7F20585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FF3749A-EFEF-434C-928F-5569552D8548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FF9D4A6-A618-4D5D-BF0B-76CF9E499568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494ECF1-0683-4D24-992E-8676EDC4BF0F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DA115D5-FBED-4161-AA7D-A4A12AF82D3C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7A6D4B-9991-4B17-9247-AB802EF18F38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08174B5-25C7-421E-B146-0907ACCA5F98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9CA3495-3CA7-40FF-A40C-9782B6DE6937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F0DE82E-9234-42D9-ADD9-46F0B7CED3F6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8009B42-A8A1-4558-9BAC-C0449CCD2546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F2878A-8A66-4316-8106-0232B64E4C7C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5EB6364-171B-4055-BD01-76B893B0E33E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5DF7A8A-4CB2-4089-863C-21BA26719F73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204B7CE-A6F9-4C10-870C-7ABBFAC7DA74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93EEE95-2A10-4BC2-BF89-4DD2CA4785EE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CDC6AAD-7047-487F-9FF1-113904516F89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59B8B2B-686B-4174-8D3E-D46EA7A834AF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ED5222-A483-423F-80A5-F45F13477CA1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FEB84FE-14C4-4632-B59D-12D2876FCA92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9328F8A-79BC-4991-8E4F-04F3103B7A94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987CB3B-DA89-496E-A232-16B14460FF25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F195566-3F61-4214-8877-4B46750FB07B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DFB8683-3D07-4B8D-B06E-730FCEAAE15D}"/>
            </a:ext>
          </a:extLst>
        </xdr:cNvPr>
        <xdr:cNvSpPr txBox="1"/>
      </xdr:nvSpPr>
      <xdr:spPr>
        <a:xfrm>
          <a:off x="8553450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D1A998-A85B-4B34-B3DA-19CF17FBA6C4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9C6930-92E1-4453-A295-79C261DC1593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EF434E-F208-4E45-90E7-D8316B2078D8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02E6BE-63F5-4315-86F2-B057FE871BF9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AC6772-E8B5-4AA0-8095-58E692F793ED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E092CE-E6D3-4BC2-99D5-93876279273F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40395DA-D2BD-4C9C-9EE7-607BEF20187D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366BB0F-8607-46AA-87D6-27FAB95541D8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7227B33-039D-438D-854B-E8F78E3533BC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B221FA8-CC09-4765-9B76-571BEDADDAAA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347E5DA-33F8-49EB-B6A6-1047C9AC67C3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B26AC60-3CA7-4AE2-89E8-9FAEB93841D0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9506A0-2385-4C7B-BE30-84160E7B3094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59F8371-2400-4022-BE20-FC9B50B2F542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81DA242-1B83-456B-ADBB-43DD3C1708A0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0BC351B-674B-43A5-AAD6-AD421C05BE7B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555B48E-B6A5-4671-A4E8-2C241D7F3654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FE5797D-D59D-42B5-B24D-B77B72889616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A96EEED-1337-4D78-830D-8732E0132343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11B6073-F0C8-4DEC-9E6C-D6ADF10479C0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FAAA675-5BCC-4BE4-B1B6-D9C186E8ADBF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65B4C13-2814-4068-8FC0-6231076E38BC}"/>
            </a:ext>
          </a:extLst>
        </xdr:cNvPr>
        <xdr:cNvSpPr txBox="1"/>
      </xdr:nvSpPr>
      <xdr:spPr>
        <a:xfrm>
          <a:off x="8353425" y="1228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A661DC4-C232-4A3C-97D7-7568E1D65B15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947308B-BE0A-4083-8F4B-8F9A60203A8F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4A77C09-7D50-4DF4-B001-6F566BCB5D46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F71424D-4801-42B5-82F5-F0AE7FD84D86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7881407-3EEE-40E2-BE6D-2FAD45B0B793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0EBB9DB-D4D0-438F-8A93-797C39794395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B57328A-04E1-4536-B675-58B7ED31538C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1CA9D16-88E7-4D51-9FC4-E3892D799471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4D2B2C1-ACD2-4773-B1C4-AA9EA2DBE96C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1984B7B-19A2-4BB1-B3A9-5494AC971122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B5ED623-35CD-4B3B-AD5B-EF95640E066B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1C87ED8-C564-4027-96FF-A551BC050C0C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7F5731A-FD1A-4074-9228-9B4AEAB3A288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D61CEF1-533A-46BC-A7C1-7F3A66FB21CA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4F9BA23-144D-467E-B95C-C9DA130C6233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36F7784-1F35-43EC-9F3D-8034395EA376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D3053B1-FCD6-4AA8-9CDF-D540922A47BC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6DFD183-755D-4413-8EC9-CFA7770D1273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A379C6-457A-40A4-BC21-02FD74595EF9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E5EBBE4-4987-4656-9713-7C7EBF4B1C90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7EF60C9-02A6-4DD2-B8BE-51E73D915863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295131B-D132-4F34-98DA-8F9BC2B12450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C0F4999-9598-450A-98A7-178388B23495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189D514-11F2-4572-9489-69DA241BEE3B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9570FFF-55EA-41DC-9427-DDA8C1F8AF3B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638175</xdr:colOff>
      <xdr:row>15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9F28168-4C13-47D4-A781-BF4E862B180D}"/>
            </a:ext>
          </a:extLst>
        </xdr:cNvPr>
        <xdr:cNvSpPr txBox="1"/>
      </xdr:nvSpPr>
      <xdr:spPr>
        <a:xfrm>
          <a:off x="8353425" y="258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4CB685-1116-4F2C-B131-263E76F1069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ABA768-E2EF-49B0-9877-DD21CD833E4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84CA9F-E6E2-4F57-8F25-44ABE81BA6C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509035-19B7-424E-952E-6943E15556C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882154-ED72-43ED-8E8C-9F931674C74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14D7AE-EEB0-4D8B-AB9C-9C25C689026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62B6D9-B84F-44C0-9D95-138A2B0752C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2306135-7400-4CE5-A36E-2BCAFC8D456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9985138-61EA-4ABD-8039-D59E3491981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6B29218-E506-4CDA-AADB-529F29FF47C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B96EAA5-635B-4262-BF37-775E07669B1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A3AFEC1-9984-49E9-9569-23F1A9903A8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9948E04-16ED-4C51-A714-0FF8F7ACD6A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7FA4C38-ABF6-4343-AADE-BF240543103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F6CD8D-F6D4-417E-B50B-00D96ECF370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43BF7A7-202D-40DA-90C2-4898AF30E1C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CD09C66-72CF-48BA-969D-3221DC58B98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6683360-3E73-491E-B1F9-A77ADB7C6FB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F15652B-9D23-47EC-827F-751707854F1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4B63417-AAF0-43C6-B51C-1A6D379850F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EF32973-D868-4022-9E4C-EEB1CB8B183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8BECF80-1396-486B-AE0D-9B3A44102C2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6183BFF-2F2F-4800-BCC3-E200AE3C329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90C74C5-C1BD-4614-BA43-529B77C8EB3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045B7B1-EF53-4E1C-B6BF-217F5823282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BAEA8EB-7695-40BD-9741-4FCB95ACAD6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18D6E5BD-5EC7-407B-BF7A-931B9ED65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3AF4B5-AC5E-4B2C-8DD7-3F0E37E9E3A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18E6214-9176-4FDF-A56E-6A3D14B55FC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44DE87-3B30-49D7-A282-78B0E9D4987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EEADDA1-350E-4470-923B-430660E7F73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A686E9-B38E-48FA-AD9E-4A4642B4851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FFB8D1-617A-47EE-903E-2BCDDD049C5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15B79CD-85AD-4A23-89C4-30E7EAAE434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860A7B6-3B97-47CC-8B57-3CDA68E4E28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2CC662-68B2-4847-9180-63CCFDA0F46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0165EED-10A0-4A84-8989-CC86472F173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B9CB012-615C-4A1F-96DE-891A3C35356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B8F9666-DE06-41E2-AE6A-445D2F131CA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8C45126-8E7B-4202-8C5D-7A5D7B47EE5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8D06684-2E0F-496D-B5A4-039602A871E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65EEBCF-A5F0-486C-9F22-AF38DCB7200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92B52E6-1A7E-453F-9903-742A7B704A2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41BDF2B-E7EA-4428-B050-FFFE511523D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70A2621-0C04-428A-91EC-8DD2D04610C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72812A1-00EA-4889-9CCF-F83DDDCEC05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F54DE71-E172-42DE-A956-9310D9634B7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4C7F437-22CD-48C1-AB48-3E362F8F8FD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33C0435-88C0-4EE7-9C93-8B613C86804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702CCFA-10F2-4542-97C3-7172F40CD32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966266-EDE9-43FB-8687-6E3086CD5C0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13F86E8-B6CA-4E3D-9E0D-B437710A3FE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24908B7-DFC0-41D5-A79F-3A73A602419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6E7456E-09E7-4482-95E4-E2D76245B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DA9F97-FC13-40C0-AB39-F293CECA029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729C1E8-A01C-4584-9DA9-95A22DCE502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9885D3-F462-4167-9FCE-87BCAE777C3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8D7E7C3-0057-4CC7-829A-22B3E901468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7C60D13-0446-4B15-B824-DBD13F1AA00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131AC81-FFA1-4162-8E01-15948B56B53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C773888-F5ED-4886-9088-5F0500DFCC9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45C5AF4-F577-4EBC-A605-B942ED8F544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BCEEF3E-855F-43C0-AAF4-0D6FE11FDEF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4A27706-0956-42A1-BDB0-7306A4E9E84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2BE11E9-2B17-48EC-BA64-B7D3B9F5477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3636B19-2AAF-41F7-8085-C3F51A55E5E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78ADBA0-33A8-4807-85E3-D7D84404973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BBA4962-F957-4751-A3DB-49772BF14C2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96D045E-567E-4704-BCE6-2B1354242D4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EABA101-608C-4C20-9DBD-54F6480AB22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702B1F6-D76D-4BB3-9E9B-87CCCB1961F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0FBFEFF-388D-4DF5-BCA5-DC210525F7D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A1A8344-425A-475F-9AF3-C757BD3E95E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4E88F05-F77C-4FF7-BB22-829E81410C9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2F855AF-89FD-4B29-AB2B-BF28DD15270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21636D-217C-4627-A05A-45679FD01F7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80D3F79-B853-4468-80E5-BBBE3140A9F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98BACFB-C3FB-4817-9142-F9095F9C551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FF2305B-596E-4D0F-8320-AFEFAD3B64C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A531810-B347-4325-A6F8-D14A9B0CD38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1487BFBA-3294-4034-88E1-D81BA633B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6B5E51-13D5-4EE4-8CCE-F88FCE267A4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EA082D6-25F8-4426-ABE6-116312F15B8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4964E3-3DA0-4B6A-90DB-80A531E04A7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F4688E-60FC-48F2-8C71-1BF1FBCB08B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F45390-57F6-4D12-B3F7-15F9919E32A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914CE49-D2DF-4C57-B342-1B555A089C7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5EF6440-0CE6-4C86-9BE0-849736F4EBA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A47BF02-17C8-4650-81C0-52886222F42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708B557-0AB8-4DA1-8484-7E547809D23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766427E-A687-4FC1-9D50-25754B800BD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66C4738-EBB5-43F0-9558-CF95003E39B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593CB4F-F0E9-495F-A000-07803BB2084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4118770-2BBD-4950-B04D-065F77D151D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1D29DB7-7019-453D-9270-061E9D02720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44F9BDB-2914-4DF2-AB56-63712C2179E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1C3F6B1-3F3F-4CBA-9D4F-C75D7158B98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8AF4AB5-EE1B-42CD-A332-1BF3E703AC0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127F162-C570-401E-8D27-7672809E4B8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ED26950-77EA-4C2A-AC7C-8C7AB09F06E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4CA516-69F3-4F23-83B5-B11DC9EB04B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C9E8A40-95A3-4990-AAAF-FC356036326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900CFC9-2FE3-4A25-B53D-D3435B7FEE1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EED59AA-230C-409E-836B-F4DC900C3DC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9F4996E-552B-47A6-80FD-E466E522742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3E8E2C6-22BD-4A6A-B9A8-B045B613185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254627D-F9A8-4216-BCBC-37A384E6AA4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870CCF2-2223-45CE-ADA2-4E0A22460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174357-3683-4942-96C5-1CB79C8B1C5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139AD4-8150-4B00-B3E7-30155076A76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7EBCF0-E234-46D3-BC44-E7BCF79F99D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94DE7F-09F5-47C0-ABEC-9BF265E4128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4F0F1C-A37C-482C-B51D-2728B826A76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A50C3B-20B1-41E8-8C33-15870FC4599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2A0D8C-946C-421D-AD22-861C3451EA3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DDD2580-4C82-402B-9309-5EEEEF0A49A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7E3DC5-8D6A-4A9D-873E-ACBE72D4F5E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2656B7B-DDCE-4210-9A5B-F547DB5D005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41DCD-7C26-4328-988F-B8B833ACD96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B20CD0D-113C-4E6A-8E2E-02ECF798601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9CDC306-C374-434A-8BFA-C6FEB4D6919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C205E63-D07B-4B16-818F-E896A3C1773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F3B1429-6864-47ED-AFBE-08990CC9592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A0D4C4-6C17-4E9F-83C0-0C430CC754E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0FC5FEE-D643-47A3-92EF-2A3F7341B8D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F703E77-E935-42C1-8786-CF66475C252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08A485E-591F-450F-AA4C-ED3E6082263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02C097E-A9CE-4335-87C0-7DC49E78333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067C1E1-1315-4C1B-B843-3A40A9D8AE0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1AAEFF7-5B37-46E4-BF51-AFF214727DA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11C338F-71A8-40B2-90CC-881E480DB96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39C33AE-93FE-4EC0-948D-874F9566177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4ABB472-D0AD-415A-8D87-9A8375B00C2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039730E-3450-44B6-984A-EAEB37FD5E9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AF3B60E0-36EF-41AB-B3A3-2AA17A343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0A49E2-6FC5-4675-BF16-7A0EB172E3A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2E9E4C-F00F-4584-99DC-2F82C74FEF5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D5AD9F-EA1C-4A90-920E-49C2EE6BB81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EE2E1B-F2FB-4F9E-BCFC-DDEF9D3A5E4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C07CC70-4E57-4616-B38D-16D41BCE6BB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C6AF27B-366E-4A00-9B4C-08F03DC22A1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C285813-B345-4227-8247-33F72A9606E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0C2E70F-AD15-44F2-8CD6-CBAED90BCB5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FDC8221-0D5A-46F5-9D20-68694835BEE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36AD95C-0330-4FAB-937B-02C6FDB1F2E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93551CB-A7CA-4AEA-BF31-4BAEA6D443B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36AABE2-993C-4D23-9D8E-6B46733E317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9173A87-3F25-42BE-BF57-26AB6ABAD94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F87A2AF-9A79-4582-A842-7B50DD9B86F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DD98826-87D9-41F0-B36E-AFF077940B2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BD1BA8D-6458-48B8-B140-32373E33D69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8D38D37-0432-4AD6-9033-C515B2FC7E8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C6CFCE5-896F-4CFD-AD05-403D25EECFE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4ECEC6-D6E9-4771-B3EE-D77E23435F4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C58A171-3738-4D28-9C05-7A07561C328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548028E-AE7A-4CA4-AC4C-14256645919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6076DD1-D3C4-4697-9991-7B2EB26A542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01A2277-5F68-427C-BEB8-93E4597D437C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7711337-1FCC-46DA-A5AA-FBA3CF9FEC9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F5A82B2-5720-4A8C-9014-42962E3BD61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A37699C-0DAA-433C-ABD0-89012A77E71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D4873AE-19C5-4A5F-AFDA-656BD1FE3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F6DACD-BF50-481A-B407-92C8553350E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919CD4-D013-440C-8B5C-551EC4A4E6A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2D0B21-DDC2-4E7C-988C-E3DF668C09C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1BA4467-EC53-4008-9A99-7512EEF7F25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FD3D85-1FCE-4128-AF9C-D0607630BA9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8503504-6121-455C-999D-F0B7ECCE5D8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B91D03-A1FC-484D-88CA-08B36E0D0D3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9BEF0EC-A7B7-4C92-AE11-55BFFC7EC39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0E21DA8-4DC5-4C14-B10B-41B16BB6907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D305EF-8F02-4EF9-A99B-56EC8983F2D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6D512F9-4734-4255-9BB7-F60E776A9F3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94B8642-A167-4AFE-9FC9-D1A15EC7F97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103B96-A6B7-4272-9295-F70406C790B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4D4CD52-9B27-482F-97BE-AFA29BB66BA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E9B0EC9-5660-4787-8550-7508256E000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E113697-948A-4E8F-ACC6-6EC3012B21A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71500B3-BF36-46D6-BAE1-50D8A13261A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D3DC7B6-69E0-4570-83A8-91715A5D797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86B58B0-8343-4E30-8E72-8E0647C6630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CB2A144-CC9B-4151-8472-B3B2744F7CE8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3286721-DB42-4525-8C74-8F63DF17D46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A10FF80-CA77-49E3-B069-5B0524669F1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0476C1B-A705-4ECB-889E-8F8EB555C1A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2CD571A-9E61-4696-91E7-E9BEC209E2E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85B2A0D-1383-4852-A140-21159CA357A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0AADCD5-BE6C-4E06-983B-0AE6CDBA14CE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7BECF43-A02F-45B1-AC0E-BA750D88B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CB209C-12F4-438F-B0F4-55DCF029138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34E2DC-0AF3-4205-9025-9CAC045B0A8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ADF29A-6966-4FB5-9130-A32742DEA55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3AE387D-66B4-4C59-8299-839AD967C31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CD0416A-9A82-4467-8EDB-3A369F48F42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E276B30-B402-448D-AB81-96BCB4C8BE2A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EF928C9-2B41-4866-80B2-3DB324B8C16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7ADE6E1-A247-4854-B8B6-9285EAF2E43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93D5E3E-373B-4B0A-BE2C-D6CFA5068C17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5F73044-66F8-4BEE-BF10-FB1D3F68137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5452DE5-EBAD-4FBF-868B-EB6A8B8AB9AF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DBE60AB-9DAA-4A73-9F47-D44192A20706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8F65CA-0416-4F32-995E-027DE3D7B3D1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52925D2-372E-461F-878F-FF6E1ED504B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F9A41E7-A440-46C0-B10C-21FC0B8C053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CE59127-66F6-40B2-8373-242D07E3D400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D65983B-462D-444C-960A-891050D2E48D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C74949A-DD79-4BAE-8C43-50298CA2BFD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160C04B-865E-497B-89D7-01DE1A8DE08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29F1F2E-563F-4A09-ADD8-6A8D7866709B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E7BF920-0B19-43B9-8DF1-EDD723DE4239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F8E47C7-444F-4D2D-97CA-D963AC0547A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155FD59-0A7B-4B77-AC94-145FEA7BEB65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8602929-43A1-4E20-A08A-82F243D56C52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0106C36-CD9F-4254-A068-651D9FDE4173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638175</xdr:colOff>
      <xdr:row>17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9DF8986-31FB-433E-B9BB-07FF19022D44}"/>
            </a:ext>
          </a:extLst>
        </xdr:cNvPr>
        <xdr:cNvSpPr txBox="1"/>
      </xdr:nvSpPr>
      <xdr:spPr>
        <a:xfrm>
          <a:off x="8448675" y="321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723900</xdr:colOff>
      <xdr:row>1</xdr:row>
      <xdr:rowOff>18074</xdr:rowOff>
    </xdr:from>
    <xdr:to>
      <xdr:col>7</xdr:col>
      <xdr:colOff>640829</xdr:colOff>
      <xdr:row>4</xdr:row>
      <xdr:rowOff>47625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8FDDB4-6424-4815-8E85-4142DCB28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3450" y="199049"/>
          <a:ext cx="5165204" cy="57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2"/>
  <sheetViews>
    <sheetView zoomScaleNormal="100" workbookViewId="0">
      <selection activeCell="J23" sqref="J23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56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27"/>
      <c r="B8" s="27"/>
      <c r="C8" s="27"/>
      <c r="D8" s="27"/>
      <c r="E8" s="27"/>
      <c r="F8" s="27"/>
      <c r="G8" s="27"/>
      <c r="H8" s="27"/>
      <c r="I8" s="27"/>
    </row>
    <row r="10" spans="1:12" ht="16.5" customHeight="1" x14ac:dyDescent="0.25">
      <c r="B10" s="136"/>
      <c r="C10" s="136"/>
      <c r="D10" s="132" t="s">
        <v>0</v>
      </c>
      <c r="E10" s="132"/>
      <c r="F10" s="31" t="s">
        <v>1</v>
      </c>
      <c r="G10" s="132" t="s">
        <v>2</v>
      </c>
      <c r="H10" s="132"/>
      <c r="I10" s="31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31" t="s">
        <v>3</v>
      </c>
      <c r="G11" s="48">
        <v>2019</v>
      </c>
      <c r="H11" s="48">
        <v>2018</v>
      </c>
      <c r="I11" s="31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1995</v>
      </c>
      <c r="E12" s="33">
        <f>SUM(E13,E15,E16)</f>
        <v>1637</v>
      </c>
      <c r="F12" s="34">
        <f>(D12/E12)-1</f>
        <v>0.2186927306047648</v>
      </c>
      <c r="G12" s="33">
        <f>SUM(G13,G15,G16)</f>
        <v>1995</v>
      </c>
      <c r="H12" s="33">
        <f>SUM(H13,H15,H16)</f>
        <v>1637</v>
      </c>
      <c r="I12" s="34">
        <f>(G12/H12)-1</f>
        <v>0.2186927306047648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Statistics'!C3</f>
        <v>1815</v>
      </c>
      <c r="E13" s="36">
        <f>'2018 Statistics'!C3</f>
        <v>1429</v>
      </c>
      <c r="F13" s="37">
        <f>(D13/E13)-1</f>
        <v>0.2701189643107067</v>
      </c>
      <c r="G13" s="36">
        <f>SUM('2019 Statistics'!C3:C3)</f>
        <v>1815</v>
      </c>
      <c r="H13" s="36">
        <f>SUM('2018 Statistics'!C3)</f>
        <v>1429</v>
      </c>
      <c r="I13" s="37">
        <f>(G13/H13)-1</f>
        <v>0.2701189643107067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Statistics'!C4</f>
        <v>1815</v>
      </c>
      <c r="E14" s="3">
        <f>'2018 Statistics'!C4</f>
        <v>1429</v>
      </c>
      <c r="F14" s="29">
        <f>(D14/E14)-1</f>
        <v>0.2701189643107067</v>
      </c>
      <c r="G14" s="3">
        <f>SUM('2019 Statistics'!C4:C4)</f>
        <v>1815</v>
      </c>
      <c r="H14" s="47">
        <f>SUM('2018 Statistics'!C4)</f>
        <v>1429</v>
      </c>
      <c r="I14" s="29">
        <f>(G14/H14)-1</f>
        <v>0.2701189643107067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Statistics'!C5</f>
        <v>0</v>
      </c>
      <c r="E15" s="36">
        <f>'2018 Statistics'!C5</f>
        <v>132</v>
      </c>
      <c r="F15" s="37">
        <v>-1</v>
      </c>
      <c r="G15" s="36">
        <f>SUM('2019 Statistics'!C5:C5)</f>
        <v>0</v>
      </c>
      <c r="H15" s="36">
        <f>'2018 Statistics'!C5</f>
        <v>132</v>
      </c>
      <c r="I15" s="37">
        <v>1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Statistics'!C8</f>
        <v>180</v>
      </c>
      <c r="E16" s="36">
        <f>'2018 Statistics'!C8</f>
        <v>76</v>
      </c>
      <c r="F16" s="37">
        <v>1</v>
      </c>
      <c r="G16" s="36">
        <f>SUM('2019 Statistics'!C8:C8)</f>
        <v>180</v>
      </c>
      <c r="H16" s="36">
        <f>'2018 Statistics'!C8</f>
        <v>76</v>
      </c>
      <c r="I16" s="37">
        <f>(G16/H16)-1</f>
        <v>1.3684210526315788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1999</v>
      </c>
      <c r="E18" s="33">
        <f>SUM(E19,E21,E22)</f>
        <v>1594</v>
      </c>
      <c r="F18" s="34">
        <f>(D18/E18)-1</f>
        <v>0.25407779171894607</v>
      </c>
      <c r="G18" s="33">
        <f>SUM(G19,G21,G22)</f>
        <v>1999</v>
      </c>
      <c r="H18" s="33">
        <f>SUM(H19,H21,H22)</f>
        <v>1594</v>
      </c>
      <c r="I18" s="34">
        <f>(G18/H18)-1</f>
        <v>0.25407779171894607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Statistics'!C11</f>
        <v>1831</v>
      </c>
      <c r="E19" s="36">
        <f>'2018 Statistics'!C11</f>
        <v>1386</v>
      </c>
      <c r="F19" s="37">
        <f>(D19/E19)-1</f>
        <v>0.32106782106782106</v>
      </c>
      <c r="G19" s="36">
        <f>SUM('2019 Statistics'!C11:C11)</f>
        <v>1831</v>
      </c>
      <c r="H19" s="36">
        <f>'2018 Statistics'!C11</f>
        <v>1386</v>
      </c>
      <c r="I19" s="37">
        <f>(G19/H19)-1</f>
        <v>0.32106782106782106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Statistics'!C12</f>
        <v>1831</v>
      </c>
      <c r="E20" s="3">
        <f>'2018 Statistics'!C12</f>
        <v>1386</v>
      </c>
      <c r="F20" s="29">
        <f>(D20/E20)-1</f>
        <v>0.32106782106782106</v>
      </c>
      <c r="G20" s="47">
        <f>SUM('2019 Statistics'!C12:C12)</f>
        <v>1831</v>
      </c>
      <c r="H20" s="47">
        <f>'2018 Statistics'!C12</f>
        <v>1386</v>
      </c>
      <c r="I20" s="29">
        <f>(G20/H20)-1</f>
        <v>0.32106782106782106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Statistics'!C13</f>
        <v>0</v>
      </c>
      <c r="E21" s="36">
        <f>'2018 Statistics'!C13</f>
        <v>132</v>
      </c>
      <c r="F21" s="37">
        <v>-1</v>
      </c>
      <c r="G21" s="36">
        <f>SUM('2019 Statistics'!C13:C13)</f>
        <v>0</v>
      </c>
      <c r="H21" s="36">
        <f>'2018 Statistics'!C13</f>
        <v>132</v>
      </c>
      <c r="I21" s="37">
        <v>1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Statistics'!C16</f>
        <v>168</v>
      </c>
      <c r="E22" s="36">
        <f>'2018 Statistics'!C16</f>
        <v>76</v>
      </c>
      <c r="F22" s="37">
        <v>1</v>
      </c>
      <c r="G22" s="36">
        <f>SUM('2019 Statistics'!C16:C16)</f>
        <v>168</v>
      </c>
      <c r="H22" s="36">
        <f>'2018 Statistics'!C16</f>
        <v>76</v>
      </c>
      <c r="I22" s="37">
        <f>(G22/H22)-1</f>
        <v>1.2105263157894739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3994</v>
      </c>
      <c r="E24" s="33">
        <f>SUM(E12,E18)</f>
        <v>3231</v>
      </c>
      <c r="F24" s="34">
        <f>(D24/E24)-1</f>
        <v>0.23614979882389364</v>
      </c>
      <c r="G24" s="33">
        <f>SUM(G18,G12)</f>
        <v>3994</v>
      </c>
      <c r="H24" s="33">
        <f>SUM(H18,H12)</f>
        <v>3231</v>
      </c>
      <c r="I24" s="34">
        <f>(G24/H24)-1</f>
        <v>0.23614979882389364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6100</v>
      </c>
      <c r="E26" s="41">
        <f>SUM(E27:E28)</f>
        <v>5950</v>
      </c>
      <c r="F26" s="42">
        <f>(D26/E26)-1</f>
        <v>2.5210084033613356E-2</v>
      </c>
      <c r="G26" s="41">
        <f>SUM(G27:G28)</f>
        <v>6100</v>
      </c>
      <c r="H26" s="41">
        <f>SUM(H27:H28)</f>
        <v>5950</v>
      </c>
      <c r="I26" s="42">
        <f>(G26/H26)-1</f>
        <v>2.5210084033613356E-2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Statistics'!C21</f>
        <v>6100</v>
      </c>
      <c r="E27" s="3">
        <f>'2018 Statistics'!C21</f>
        <v>5650</v>
      </c>
      <c r="F27" s="29">
        <f>(D27/E27)-1</f>
        <v>7.9646017699114946E-2</v>
      </c>
      <c r="G27" s="3">
        <f>SUM('2019 Statistics'!C21:C21)</f>
        <v>6100</v>
      </c>
      <c r="H27" s="3">
        <f>'2018 Statistics'!C21</f>
        <v>5650</v>
      </c>
      <c r="I27" s="29">
        <f>(G27/H27)-1</f>
        <v>7.9646017699114946E-2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Statistics'!C22</f>
        <v>0</v>
      </c>
      <c r="E28" s="3">
        <f>'2018 Statistics'!C22</f>
        <v>300</v>
      </c>
      <c r="F28" s="26">
        <v>1</v>
      </c>
      <c r="G28" s="3">
        <f>SUM('2019 Statistics'!C22:C22)</f>
        <v>0</v>
      </c>
      <c r="H28" s="3">
        <f>'2018 Statistics'!C22</f>
        <v>300</v>
      </c>
      <c r="I28" s="26">
        <v>1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'2018 Statistics'!C24</f>
        <v>0.51747899159663868</v>
      </c>
      <c r="E30" s="43">
        <f>'2017 Statistics'!C24</f>
        <v>0.47264150943396227</v>
      </c>
      <c r="F30" s="42">
        <f>D30-E30</f>
        <v>4.4837482162676412E-2</v>
      </c>
      <c r="G30" s="43">
        <f>'2017 Statistics'!O24</f>
        <v>0.5293579335793358</v>
      </c>
      <c r="H30" s="43">
        <f>E30</f>
        <v>0.47264150943396227</v>
      </c>
      <c r="I30" s="42">
        <f>F30</f>
        <v>4.4837482162676412E-2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0.59770491803278691</v>
      </c>
      <c r="E31" s="26">
        <f>'2018 Statistics'!C25</f>
        <v>0.49823008849557521</v>
      </c>
      <c r="F31" s="29">
        <f>D31-E31</f>
        <v>9.9474829537211706E-2</v>
      </c>
      <c r="G31" s="26">
        <f>'2019 Statistics'!C25</f>
        <v>0.59770491803278691</v>
      </c>
      <c r="H31" s="26">
        <f>'2018 Statistics'!C25</f>
        <v>0.49823008849557521</v>
      </c>
      <c r="I31" s="29">
        <f>F31</f>
        <v>9.9474829537211706E-2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 t="e">
        <f>SUM(D15,D21)/D28</f>
        <v>#DIV/0!</v>
      </c>
      <c r="E32" s="26">
        <f>'2018 Statistics'!C26</f>
        <v>0.88</v>
      </c>
      <c r="F32" s="29" t="s">
        <v>33</v>
      </c>
      <c r="G32" s="26" t="str">
        <f>'2019 Statistics'!C26</f>
        <v>N/A</v>
      </c>
      <c r="H32" s="26">
        <f>'2018 Statistics'!C26</f>
        <v>0.88</v>
      </c>
      <c r="I32" s="29" t="str">
        <f>F32</f>
        <v>N/A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Statistics'!C28</f>
        <v>0.9838709677419355</v>
      </c>
      <c r="E34" s="44">
        <f>'2018 Statistics'!C28</f>
        <v>0.97413793103448276</v>
      </c>
      <c r="F34" s="42">
        <v>0.01</v>
      </c>
      <c r="G34" s="45">
        <f>'2019 Statistics'!C28</f>
        <v>0.9838709677419355</v>
      </c>
      <c r="H34" s="44">
        <f>SUM('2018 Statistics'!C30:D30)/SUM('2018 Statistics'!C29:D29)</f>
        <v>0.98636363636363633</v>
      </c>
      <c r="I34" s="42">
        <v>0.05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Statistics'!C32</f>
        <v>99241</v>
      </c>
      <c r="E36" s="33">
        <f>'2018 Statistics'!C32</f>
        <v>103199</v>
      </c>
      <c r="F36" s="42">
        <f>(D36/E36)-1</f>
        <v>-3.835308481671329E-2</v>
      </c>
      <c r="G36" s="46">
        <f>SUM(G37:G43)</f>
        <v>99241</v>
      </c>
      <c r="H36" s="33">
        <f>SUM(H37:H43)</f>
        <v>103199</v>
      </c>
      <c r="I36" s="42">
        <f>(G36/H36)-1</f>
        <v>-3.835308481671329E-2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Statistics'!C33</f>
        <v>38014</v>
      </c>
      <c r="E37" s="96">
        <f>'2018 Statistics'!C33</f>
        <v>45321</v>
      </c>
      <c r="F37" s="98">
        <f>(D37/E37)-1</f>
        <v>-0.16122768694424217</v>
      </c>
      <c r="G37" s="96">
        <f>SUM('2019 Statistics'!C33:C33)</f>
        <v>38014</v>
      </c>
      <c r="H37" s="96">
        <f>'2018 Statistics'!C33</f>
        <v>45321</v>
      </c>
      <c r="I37" s="98">
        <f>(G37/H37)-1</f>
        <v>-0.16122768694424217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Statistics'!C34</f>
        <v>0</v>
      </c>
      <c r="E38" s="96">
        <f>'2018 Statistics'!C34</f>
        <v>1982</v>
      </c>
      <c r="F38" s="98">
        <v>0</v>
      </c>
      <c r="G38" s="96">
        <f>SUM('2019 Statistics'!C34:C34)</f>
        <v>0</v>
      </c>
      <c r="H38" s="96">
        <f>'2018 Statistics'!C34</f>
        <v>1982</v>
      </c>
      <c r="I38" s="98">
        <v>1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Statistics'!C35</f>
        <v>13544</v>
      </c>
      <c r="E39" s="96">
        <f>'2018 Statistics'!C35</f>
        <v>1398</v>
      </c>
      <c r="F39" s="98">
        <v>0</v>
      </c>
      <c r="G39" s="96">
        <f>SUM('2019 Statistics'!C35:C35)</f>
        <v>13544</v>
      </c>
      <c r="H39" s="96">
        <f>'2018 Statistics'!C35</f>
        <v>1398</v>
      </c>
      <c r="I39" s="98">
        <v>1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Statistics'!C36</f>
        <v>0</v>
      </c>
      <c r="E40" s="96">
        <f>'2018 Statistics'!C36</f>
        <v>0</v>
      </c>
      <c r="F40" s="98">
        <v>0</v>
      </c>
      <c r="G40" s="96">
        <f>SUM('2019 Statistics'!C36:C36)</f>
        <v>0</v>
      </c>
      <c r="H40" s="96">
        <f>'2018 Statistics'!C36</f>
        <v>0</v>
      </c>
      <c r="I40" s="98">
        <v>0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Statistics'!C37</f>
        <v>47683</v>
      </c>
      <c r="E41" s="96">
        <f>'2018 Statistics'!C37</f>
        <v>54498</v>
      </c>
      <c r="F41" s="98">
        <f>(D41/E41)-1</f>
        <v>-0.12505046056736024</v>
      </c>
      <c r="G41" s="96">
        <f>SUM('2019 Statistics'!C37:C37)</f>
        <v>47683</v>
      </c>
      <c r="H41" s="96">
        <f>'2018 Statistics'!C37</f>
        <v>54498</v>
      </c>
      <c r="I41" s="98">
        <f>(G41/H41)-1</f>
        <v>-0.12505046056736024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Statistics'!C38</f>
        <v>0</v>
      </c>
      <c r="E42" s="96">
        <f>'2018 Statistics'!C38</f>
        <v>0</v>
      </c>
      <c r="F42" s="98">
        <v>0</v>
      </c>
      <c r="G42" s="96">
        <f>SUM('2019 Statistics'!C38:C38)</f>
        <v>0</v>
      </c>
      <c r="H42" s="96">
        <f>'2018 Statistics'!C38</f>
        <v>0</v>
      </c>
      <c r="I42" s="98">
        <v>0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Statistics'!C39</f>
        <v>0</v>
      </c>
      <c r="E43" s="96">
        <f>'2018 Statistics'!C39</f>
        <v>0</v>
      </c>
      <c r="F43" s="98">
        <v>0</v>
      </c>
      <c r="G43" s="96">
        <f>SUM('2019 Statistics'!C39:C39)</f>
        <v>0</v>
      </c>
      <c r="H43" s="96">
        <f>'2018 Statistics'!C39</f>
        <v>0</v>
      </c>
      <c r="I43" s="98">
        <v>0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Statistics'!C41</f>
        <v>4187293</v>
      </c>
      <c r="E45" s="46">
        <f>'2018 Statistics'!C41</f>
        <v>3611789</v>
      </c>
      <c r="F45" s="42">
        <f>(D45/E45)-1</f>
        <v>0.15934042658638137</v>
      </c>
      <c r="G45" s="46">
        <f>SUM('2019 Statistics'!C41:C41)</f>
        <v>4187293</v>
      </c>
      <c r="H45" s="46">
        <f>'2018 Statistics'!C41</f>
        <v>3611789</v>
      </c>
      <c r="I45" s="42">
        <f>(G45/H45)-1</f>
        <v>0.15934042658638137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G10:H10"/>
    <mergeCell ref="A6:I7"/>
    <mergeCell ref="A1:I5"/>
    <mergeCell ref="B10:C11"/>
    <mergeCell ref="D10:E10"/>
  </mergeCells>
  <phoneticPr fontId="6" type="noConversion"/>
  <pageMargins left="0.7" right="0.7" top="0.5" bottom="0.5" header="0.3" footer="0.3"/>
  <pageSetup scale="86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9F5E-63C5-49C8-AF55-91C159D64F96}">
  <sheetPr>
    <pageSetUpPr fitToPage="1"/>
  </sheetPr>
  <dimension ref="A1:L52"/>
  <sheetViews>
    <sheetView topLeftCell="A13" zoomScaleNormal="100" workbookViewId="0">
      <selection activeCell="H46" sqref="H46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66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</row>
    <row r="10" spans="1:12" ht="16.5" customHeight="1" x14ac:dyDescent="0.25">
      <c r="B10" s="136"/>
      <c r="C10" s="136"/>
      <c r="D10" s="132" t="s">
        <v>0</v>
      </c>
      <c r="E10" s="132"/>
      <c r="F10" s="126" t="s">
        <v>1</v>
      </c>
      <c r="G10" s="132" t="s">
        <v>2</v>
      </c>
      <c r="H10" s="132"/>
      <c r="I10" s="126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26" t="s">
        <v>3</v>
      </c>
      <c r="G11" s="48">
        <v>2019</v>
      </c>
      <c r="H11" s="48">
        <v>2018</v>
      </c>
      <c r="I11" s="126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2192</v>
      </c>
      <c r="E12" s="33">
        <f>SUM(E13,E15,E16)</f>
        <v>2295</v>
      </c>
      <c r="F12" s="34">
        <f>(D12/E12)-1</f>
        <v>-4.4880174291939023E-2</v>
      </c>
      <c r="G12" s="33">
        <f>SUM(G13,G15,G16)</f>
        <v>21246</v>
      </c>
      <c r="H12" s="33">
        <f>SUM(H13,H15,H16)</f>
        <v>19538</v>
      </c>
      <c r="I12" s="34">
        <f>(G12/H12)-1</f>
        <v>8.7419387859555719E-2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Statistics'!L3</f>
        <v>2104</v>
      </c>
      <c r="E13" s="36">
        <f>'2018 Statistics'!L3</f>
        <v>2033</v>
      </c>
      <c r="F13" s="37">
        <f>(D13/E13)-1</f>
        <v>3.4923757993113647E-2</v>
      </c>
      <c r="G13" s="36">
        <f>SUM('2019 Statistics'!C3:L3)</f>
        <v>19772</v>
      </c>
      <c r="H13" s="36">
        <f>SUM('2018 Statistics'!C3:L3)</f>
        <v>18011</v>
      </c>
      <c r="I13" s="37">
        <f>(G13/H13)-1</f>
        <v>9.7773582810504633E-2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Statistics'!L4</f>
        <v>2104</v>
      </c>
      <c r="E14" s="3">
        <f>'2018 Statistics'!L4</f>
        <v>2033</v>
      </c>
      <c r="F14" s="29">
        <f>(D14/E14)-1</f>
        <v>3.4923757993113647E-2</v>
      </c>
      <c r="G14" s="3">
        <f>SUM('2019 Statistics'!C4:L4)</f>
        <v>19772</v>
      </c>
      <c r="H14" s="47">
        <f>SUM('2018 Statistics'!C3:L3)</f>
        <v>18011</v>
      </c>
      <c r="I14" s="29">
        <f>(G14/H14)-1</f>
        <v>9.7773582810504633E-2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Statistics'!L5</f>
        <v>0</v>
      </c>
      <c r="E15" s="36">
        <f>'2018 Statistics'!L5</f>
        <v>106</v>
      </c>
      <c r="F15" s="28">
        <v>1</v>
      </c>
      <c r="G15" s="36">
        <f>SUM('2019 Statistics'!C5:L5)</f>
        <v>414</v>
      </c>
      <c r="H15" s="36">
        <f>SUM('2018 Statistics'!C5:L5)</f>
        <v>687</v>
      </c>
      <c r="I15" s="28">
        <f t="shared" ref="I15:I16" si="0">(G15/H15)-1</f>
        <v>-0.3973799126637555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Statistics'!L8</f>
        <v>88</v>
      </c>
      <c r="E16" s="36">
        <f>'2018 Statistics'!L8</f>
        <v>156</v>
      </c>
      <c r="F16" s="28">
        <f t="shared" ref="F16" si="1">(D16/E16)-1</f>
        <v>-0.4358974358974359</v>
      </c>
      <c r="G16" s="36">
        <f>SUM('2019 Statistics'!C8:L8)</f>
        <v>1060</v>
      </c>
      <c r="H16" s="36">
        <f>SUM('2018 Statistics'!C8:L8)</f>
        <v>840</v>
      </c>
      <c r="I16" s="28">
        <f t="shared" si="0"/>
        <v>0.26190476190476186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2108</v>
      </c>
      <c r="E18" s="33">
        <f>SUM(E19,E21,E22)</f>
        <v>2255</v>
      </c>
      <c r="F18" s="34">
        <f>(D18/E18)-1</f>
        <v>-6.5188470066518844E-2</v>
      </c>
      <c r="G18" s="33">
        <f>SUM(G19,G21,G22)</f>
        <v>21138</v>
      </c>
      <c r="H18" s="33">
        <f>SUM(H19,H21,H22)</f>
        <v>19334</v>
      </c>
      <c r="I18" s="34">
        <f>(G18/H18)-1</f>
        <v>9.3307127340436447E-2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Statistics'!L11</f>
        <v>2020</v>
      </c>
      <c r="E19" s="36">
        <f>'2018 Statistics'!L11</f>
        <v>2012</v>
      </c>
      <c r="F19" s="37">
        <f>(D19/E19)-1</f>
        <v>3.9761431411531323E-3</v>
      </c>
      <c r="G19" s="36">
        <f>SUM('2019 Statistics'!C11:L11)</f>
        <v>19685</v>
      </c>
      <c r="H19" s="36">
        <f>SUM('2018 Statistics'!C11:L11)</f>
        <v>17821</v>
      </c>
      <c r="I19" s="37">
        <f>(G19/H19)-1</f>
        <v>0.10459570170024124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Statistics'!L12</f>
        <v>2020</v>
      </c>
      <c r="E20" s="3">
        <f>'2018 Statistics'!L12</f>
        <v>2012</v>
      </c>
      <c r="F20" s="29">
        <f>(D20/E20)-1</f>
        <v>3.9761431411531323E-3</v>
      </c>
      <c r="G20" s="47">
        <f>SUM('2019 Statistics'!C12:L12)</f>
        <v>19685</v>
      </c>
      <c r="H20" s="47">
        <f>SUM('2018 Statistics'!C12:L12)</f>
        <v>17821</v>
      </c>
      <c r="I20" s="29">
        <f>(G20/H20)-1</f>
        <v>0.10459570170024124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Statistics'!L13</f>
        <v>0</v>
      </c>
      <c r="E21" s="36">
        <f>'2018 Statistics'!L13</f>
        <v>105</v>
      </c>
      <c r="F21" s="28">
        <v>1</v>
      </c>
      <c r="G21" s="36">
        <f>SUM('2019 Statistics'!C13:L13)</f>
        <v>411</v>
      </c>
      <c r="H21" s="36">
        <f>SUM('2018 Statistics'!C13:L13)</f>
        <v>685</v>
      </c>
      <c r="I21" s="28">
        <f t="shared" ref="I21:I22" si="2">(G21/H21)-1</f>
        <v>-0.4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Statistics'!L16</f>
        <v>88</v>
      </c>
      <c r="E22" s="36">
        <f>'2018 Statistics'!L16</f>
        <v>138</v>
      </c>
      <c r="F22" s="28">
        <f t="shared" ref="F22" si="3">(D22/E22)-1</f>
        <v>-0.3623188405797102</v>
      </c>
      <c r="G22" s="36">
        <f>SUM('2019 Statistics'!C16:L16)</f>
        <v>1042</v>
      </c>
      <c r="H22" s="36">
        <f>SUM('2018 Statistics'!C16:L16)</f>
        <v>828</v>
      </c>
      <c r="I22" s="28">
        <f t="shared" si="2"/>
        <v>0.25845410628019327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4300</v>
      </c>
      <c r="E24" s="33">
        <f>SUM(E12,E18)</f>
        <v>4550</v>
      </c>
      <c r="F24" s="34">
        <f>(D24/E24)-1</f>
        <v>-5.4945054945054972E-2</v>
      </c>
      <c r="G24" s="33">
        <f>SUM(G18,G12)</f>
        <v>42384</v>
      </c>
      <c r="H24" s="33">
        <f>SUM(H18,H12)</f>
        <v>38872</v>
      </c>
      <c r="I24" s="34">
        <f>(G24/H24)-1</f>
        <v>9.0347808190985868E-2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6000</v>
      </c>
      <c r="E26" s="41">
        <f>SUM(E27:E28)</f>
        <v>6100</v>
      </c>
      <c r="F26" s="42">
        <f>(D26/E26)-1</f>
        <v>-1.6393442622950838E-2</v>
      </c>
      <c r="G26" s="41">
        <f>SUM(G27:G28)</f>
        <v>60350</v>
      </c>
      <c r="H26" s="41">
        <f>SUM(H27:H28)</f>
        <v>57050</v>
      </c>
      <c r="I26" s="42">
        <f>(G26/H26)-1</f>
        <v>5.7843996494303163E-2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Statistics'!L21</f>
        <v>6000</v>
      </c>
      <c r="E27" s="3">
        <f>'2018 Statistics'!L21</f>
        <v>5800</v>
      </c>
      <c r="F27" s="29">
        <f>(D27/E27)-1</f>
        <v>3.4482758620689724E-2</v>
      </c>
      <c r="G27" s="3">
        <f>SUM('2019 Statistics'!C21:L21)</f>
        <v>59450</v>
      </c>
      <c r="H27" s="3">
        <f>SUM('2018 Statistics'!C21:L21)</f>
        <v>54950</v>
      </c>
      <c r="I27" s="29">
        <f>(G27/H27)-1</f>
        <v>8.1892629663330219E-2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Statistics'!L22</f>
        <v>0</v>
      </c>
      <c r="E28" s="3">
        <f>'2018 Statistics'!L22</f>
        <v>300</v>
      </c>
      <c r="F28" s="26">
        <v>1</v>
      </c>
      <c r="G28" s="3">
        <f>SUM('2019 Statistics'!C22:L22)</f>
        <v>900</v>
      </c>
      <c r="H28" s="3">
        <f>SUM('2018 Statistics'!C22:L22)</f>
        <v>2100</v>
      </c>
      <c r="I28" s="29">
        <f>(G28/H28)-1</f>
        <v>-0.5714285714285714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'2019 Statistics'!K24</f>
        <v>0.66650793650793649</v>
      </c>
      <c r="E30" s="43">
        <f>'2018 Statistics'!L24</f>
        <v>0.69770491803278689</v>
      </c>
      <c r="F30" s="42">
        <f>D30-E30</f>
        <v>-3.1196981524850398E-2</v>
      </c>
      <c r="G30" s="43">
        <f>G24/G26</f>
        <v>0.70230323115161553</v>
      </c>
      <c r="H30" s="43">
        <f>(H24/H26)</f>
        <v>0.68136722173531994</v>
      </c>
      <c r="I30" s="42">
        <f>G30-H30</f>
        <v>2.0936009416295587E-2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0.68733333333333335</v>
      </c>
      <c r="E31" s="26">
        <f>'2018 Statistics'!L25</f>
        <v>0.69741379310344831</v>
      </c>
      <c r="F31" s="29">
        <f>D31-E31</f>
        <v>-1.0080459770114958E-2</v>
      </c>
      <c r="G31" s="26">
        <f>(SUM(G13,G19)/G27)</f>
        <v>0.66370058873002524</v>
      </c>
      <c r="H31" s="26">
        <f>(SUM(H13,H19)/H27)</f>
        <v>0.65208371246587804</v>
      </c>
      <c r="I31" s="109">
        <f>G31-H31</f>
        <v>1.1616876264147202E-2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 t="e">
        <f>(SUM(D15,D21)/D28)</f>
        <v>#DIV/0!</v>
      </c>
      <c r="E32" s="26">
        <f>(SUM(E15,E21)/E28)</f>
        <v>0.70333333333333337</v>
      </c>
      <c r="F32" s="113" t="s">
        <v>33</v>
      </c>
      <c r="G32" s="26">
        <f>SUM(G21,G15)/G28</f>
        <v>0.91666666666666663</v>
      </c>
      <c r="H32" s="26">
        <f>SUM(H21,H15)/H28</f>
        <v>0.65333333333333332</v>
      </c>
      <c r="I32" s="29">
        <f>G32-H32</f>
        <v>0.26333333333333331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Statistics'!L28</f>
        <v>0.967741935483871</v>
      </c>
      <c r="E34" s="44">
        <f>'2018 Statistics'!L28</f>
        <v>0.99145299145299148</v>
      </c>
      <c r="F34" s="42">
        <v>-0.02</v>
      </c>
      <c r="G34" s="121">
        <f>SUM('2019 Statistics'!C30:L30)/SUM('2019 Statistics'!C29:L29)</f>
        <v>0.97538966365873669</v>
      </c>
      <c r="H34" s="34">
        <f>SUM('2018 Statistics'!C30:L30)/SUM('2018 Statistics'!C29:L29)</f>
        <v>0.98742138364779874</v>
      </c>
      <c r="I34" s="42">
        <f>(G34/H34)-1</f>
        <v>-1.2184990307394061E-2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Statistics'!L32</f>
        <v>120391</v>
      </c>
      <c r="E36" s="33">
        <f>'2018 Statistics'!L32</f>
        <v>110373</v>
      </c>
      <c r="F36" s="42">
        <f>(D36/E36)-1</f>
        <v>9.0764951573301333E-2</v>
      </c>
      <c r="G36" s="46">
        <f>SUM(G37:G43)</f>
        <v>1138674</v>
      </c>
      <c r="H36" s="33">
        <f>SUM(H37:H43)</f>
        <v>1003512</v>
      </c>
      <c r="I36" s="42">
        <f>(G36/H36)-1</f>
        <v>0.13468897232917998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Statistics'!L33</f>
        <v>55822</v>
      </c>
      <c r="E37" s="96">
        <f>'2018 Statistics'!L33</f>
        <v>44699</v>
      </c>
      <c r="F37" s="98">
        <f>(D37/E37)-1</f>
        <v>0.24884225597888099</v>
      </c>
      <c r="G37" s="96">
        <f>SUM('2019 Statistics'!C33:L33)</f>
        <v>502918</v>
      </c>
      <c r="H37" s="96">
        <f>SUM('2018 Statistics'!C33:L33)</f>
        <v>438474</v>
      </c>
      <c r="I37" s="98">
        <f>(G37/H37)-1</f>
        <v>0.14697336672185801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Statistics'!L34</f>
        <v>0</v>
      </c>
      <c r="E38" s="96">
        <f>'2018 Statistics'!L34</f>
        <v>0</v>
      </c>
      <c r="F38" s="109" t="s">
        <v>33</v>
      </c>
      <c r="G38" s="96">
        <f>SUM('2019 Statistics'!C34:L34)</f>
        <v>685</v>
      </c>
      <c r="H38" s="96">
        <f>SUM('2018 Statistics'!C34:L34)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Statistics'!L35</f>
        <v>21551</v>
      </c>
      <c r="E39" s="96">
        <f>'2018 Statistics'!L35</f>
        <v>10770</v>
      </c>
      <c r="F39" s="98">
        <f t="shared" ref="F39:F41" si="5">(D39/E39)-1</f>
        <v>1.0010213556174561</v>
      </c>
      <c r="G39" s="96">
        <f>SUM('2019 Statistics'!C35:L35)</f>
        <v>152535</v>
      </c>
      <c r="H39" s="96">
        <f>SUM('2018 Statistics'!C35:L35)</f>
        <v>109595</v>
      </c>
      <c r="I39" s="98">
        <f t="shared" si="4"/>
        <v>0.39180619553811757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Statistics'!L36</f>
        <v>0</v>
      </c>
      <c r="E40" s="96">
        <f>'2018 Statistics'!L36</f>
        <v>0</v>
      </c>
      <c r="F40" s="109" t="s">
        <v>33</v>
      </c>
      <c r="G40" s="96">
        <f>SUM('2019 Statistics'!C36:L36)</f>
        <v>0</v>
      </c>
      <c r="H40" s="96">
        <f>SUM('2018 Statistics'!C36:L36)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Statistics'!L37</f>
        <v>43018</v>
      </c>
      <c r="E41" s="96">
        <f>'2018 Statistics'!L37</f>
        <v>54904</v>
      </c>
      <c r="F41" s="98">
        <f t="shared" si="5"/>
        <v>-0.2164869590558065</v>
      </c>
      <c r="G41" s="96">
        <f>SUM('2019 Statistics'!C37:L37)</f>
        <v>482536</v>
      </c>
      <c r="H41" s="96">
        <f>SUM('2018 Statistics'!C37:L37)</f>
        <v>453461</v>
      </c>
      <c r="I41" s="98">
        <f t="shared" si="4"/>
        <v>6.4117972659170297E-2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Statistics'!L38</f>
        <v>0</v>
      </c>
      <c r="E42" s="96">
        <f>'2018 Statistics'!L38</f>
        <v>0</v>
      </c>
      <c r="F42" s="109" t="s">
        <v>33</v>
      </c>
      <c r="G42" s="96">
        <f>SUM('2019 Statistics'!C38:L38)</f>
        <v>0</v>
      </c>
      <c r="H42" s="96">
        <f>SUM('2018 Statistics'!C38:L38)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Statistics'!L39</f>
        <v>0</v>
      </c>
      <c r="E43" s="96">
        <f>'2018 Statistics'!L39</f>
        <v>0</v>
      </c>
      <c r="F43" s="109" t="s">
        <v>33</v>
      </c>
      <c r="G43" s="96">
        <f>SUM('2019 Statistics'!C39:L39)</f>
        <v>0</v>
      </c>
      <c r="H43" s="96">
        <f>SUM('2018 Statistics'!C39:L39)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Statistics'!L41</f>
        <v>3833331</v>
      </c>
      <c r="E45" s="46">
        <f>'2018 Statistics'!L41</f>
        <v>4205655</v>
      </c>
      <c r="F45" s="42">
        <f>(D45/E45)-1</f>
        <v>-8.8529372951418939E-2</v>
      </c>
      <c r="G45" s="46">
        <f>SUM('2019 Statistics'!C41:L41)</f>
        <v>39483056</v>
      </c>
      <c r="H45" s="46">
        <f>SUM('2018 Statistics'!C41:L41)</f>
        <v>37650520</v>
      </c>
      <c r="I45" s="42">
        <f>(G45/H45)-1</f>
        <v>4.86722626938485E-2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AF07-7EF7-4D7A-8E27-E56A4FF1B80F}">
  <sheetPr>
    <pageSetUpPr fitToPage="1"/>
  </sheetPr>
  <dimension ref="A1:L52"/>
  <sheetViews>
    <sheetView topLeftCell="A10" zoomScaleNormal="100" workbookViewId="0">
      <selection activeCell="H46" sqref="H46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67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</row>
    <row r="10" spans="1:12" ht="16.5" customHeight="1" x14ac:dyDescent="0.25">
      <c r="B10" s="136"/>
      <c r="C10" s="136"/>
      <c r="D10" s="132" t="s">
        <v>0</v>
      </c>
      <c r="E10" s="132"/>
      <c r="F10" s="128" t="s">
        <v>1</v>
      </c>
      <c r="G10" s="132" t="s">
        <v>2</v>
      </c>
      <c r="H10" s="132"/>
      <c r="I10" s="128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28" t="s">
        <v>3</v>
      </c>
      <c r="G11" s="48">
        <v>2019</v>
      </c>
      <c r="H11" s="48">
        <v>2018</v>
      </c>
      <c r="I11" s="128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2088</v>
      </c>
      <c r="E12" s="33">
        <f>SUM(E13,E15,E16)</f>
        <v>2231</v>
      </c>
      <c r="F12" s="34">
        <f>(D12/E12)-1</f>
        <v>-6.4096817570596154E-2</v>
      </c>
      <c r="G12" s="33">
        <f>SUM(G13,G15,G16)</f>
        <v>23334</v>
      </c>
      <c r="H12" s="33">
        <f>SUM(H13,H15,H16)</f>
        <v>21769</v>
      </c>
      <c r="I12" s="34">
        <f>(G12/H12)-1</f>
        <v>7.1891221461711563E-2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Statistics'!M3</f>
        <v>1915</v>
      </c>
      <c r="E13" s="36">
        <f>'2018 Statistics'!M3</f>
        <v>2164</v>
      </c>
      <c r="F13" s="37">
        <f>(D13/E13)-1</f>
        <v>-0.1150646950092421</v>
      </c>
      <c r="G13" s="36">
        <f>SUM('2019 Statistics'!C3:M3)</f>
        <v>21687</v>
      </c>
      <c r="H13" s="36">
        <f>SUM('2018 Statistics'!C3:M3)</f>
        <v>20175</v>
      </c>
      <c r="I13" s="37">
        <f>(G13/H13)-1</f>
        <v>7.4944237918215695E-2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Statistics'!M4</f>
        <v>1915</v>
      </c>
      <c r="E14" s="3">
        <f>'2018 Statistics'!M4</f>
        <v>2164</v>
      </c>
      <c r="F14" s="29">
        <f>(D14/E14)-1</f>
        <v>-0.1150646950092421</v>
      </c>
      <c r="G14" s="3">
        <f>SUM('2019 Statistics'!C4:M4)</f>
        <v>21687</v>
      </c>
      <c r="H14" s="47">
        <f>SUM('2018 Statistics'!C3:M3)</f>
        <v>20175</v>
      </c>
      <c r="I14" s="29">
        <f>(G14/H14)-1</f>
        <v>7.4944237918215695E-2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Statistics'!M5</f>
        <v>143</v>
      </c>
      <c r="E15" s="36">
        <f>'2018 Statistics'!M5</f>
        <v>0</v>
      </c>
      <c r="F15" s="28">
        <v>1</v>
      </c>
      <c r="G15" s="36">
        <f>SUM('2019 Statistics'!C5:M5)</f>
        <v>557</v>
      </c>
      <c r="H15" s="36">
        <f>SUM('2018 Statistics'!C5:M5)</f>
        <v>687</v>
      </c>
      <c r="I15" s="28">
        <f t="shared" ref="I15:I16" si="0">(G15/H15)-1</f>
        <v>-0.18922852983988359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Statistics'!M8</f>
        <v>30</v>
      </c>
      <c r="E16" s="36">
        <f>'2018 Statistics'!M8</f>
        <v>67</v>
      </c>
      <c r="F16" s="28">
        <f t="shared" ref="F16" si="1">(D16/E16)-1</f>
        <v>-0.55223880597014929</v>
      </c>
      <c r="G16" s="36">
        <f>SUM('2019 Statistics'!C8:M8)</f>
        <v>1090</v>
      </c>
      <c r="H16" s="36">
        <f>SUM('2018 Statistics'!C8:M8)</f>
        <v>907</v>
      </c>
      <c r="I16" s="28">
        <f t="shared" si="0"/>
        <v>0.20176405733186331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2033</v>
      </c>
      <c r="E18" s="33">
        <f>SUM(E19,E21,E22)</f>
        <v>2177</v>
      </c>
      <c r="F18" s="34">
        <f>(D18/E18)-1</f>
        <v>-6.6146072576940718E-2</v>
      </c>
      <c r="G18" s="33">
        <f>SUM(G19,G21,G22)</f>
        <v>23171</v>
      </c>
      <c r="H18" s="33">
        <f>SUM(H19,H21,H22)</f>
        <v>21511</v>
      </c>
      <c r="I18" s="34">
        <f>(G18/H18)-1</f>
        <v>7.7169820092045871E-2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Statistics'!M11</f>
        <v>1860</v>
      </c>
      <c r="E19" s="36">
        <f>'2018 Statistics'!M11</f>
        <v>2103</v>
      </c>
      <c r="F19" s="37">
        <f>(D19/E19)-1</f>
        <v>-0.11554921540656204</v>
      </c>
      <c r="G19" s="36">
        <f>SUM('2019 Statistics'!C11:M11)</f>
        <v>21545</v>
      </c>
      <c r="H19" s="36">
        <f>SUM('2018 Statistics'!C11:M11)</f>
        <v>19924</v>
      </c>
      <c r="I19" s="37">
        <f>(G19/H19)-1</f>
        <v>8.1359164826340091E-2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Statistics'!M12</f>
        <v>1860</v>
      </c>
      <c r="E20" s="3">
        <f>'2018 Statistics'!M12</f>
        <v>2103</v>
      </c>
      <c r="F20" s="29">
        <f>(D20/E20)-1</f>
        <v>-0.11554921540656204</v>
      </c>
      <c r="G20" s="47">
        <f>SUM('2019 Statistics'!C12:M12)</f>
        <v>21545</v>
      </c>
      <c r="H20" s="47">
        <f>SUM('2018 Statistics'!C12:M12)</f>
        <v>19924</v>
      </c>
      <c r="I20" s="29">
        <f>(G20/H20)-1</f>
        <v>8.1359164826340091E-2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Statistics'!M13</f>
        <v>143</v>
      </c>
      <c r="E21" s="36">
        <f>'2018 Statistics'!M13</f>
        <v>0</v>
      </c>
      <c r="F21" s="28">
        <v>1</v>
      </c>
      <c r="G21" s="36">
        <f>SUM('2019 Statistics'!C13:M13)</f>
        <v>554</v>
      </c>
      <c r="H21" s="36">
        <f>SUM('2018 Statistics'!C13:M13)</f>
        <v>685</v>
      </c>
      <c r="I21" s="28">
        <f t="shared" ref="I21:I22" si="2">(G21/H21)-1</f>
        <v>-0.19124087591240879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Statistics'!M16</f>
        <v>30</v>
      </c>
      <c r="E22" s="36">
        <f>'2018 Statistics'!M16</f>
        <v>74</v>
      </c>
      <c r="F22" s="28">
        <f t="shared" ref="F22" si="3">(D22/E22)-1</f>
        <v>-0.59459459459459452</v>
      </c>
      <c r="G22" s="36">
        <f>SUM('2019 Statistics'!C16:M16)</f>
        <v>1072</v>
      </c>
      <c r="H22" s="36">
        <f>SUM('2018 Statistics'!C16:M16)</f>
        <v>902</v>
      </c>
      <c r="I22" s="28">
        <f t="shared" si="2"/>
        <v>0.18847006651884701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4121</v>
      </c>
      <c r="E24" s="33">
        <f>SUM(E12,E18)</f>
        <v>4408</v>
      </c>
      <c r="F24" s="34">
        <f>(D24/E24)-1</f>
        <v>-6.5108892921960093E-2</v>
      </c>
      <c r="G24" s="33">
        <f>SUM(G18,G12)</f>
        <v>46505</v>
      </c>
      <c r="H24" s="33">
        <f>SUM(H18,H12)</f>
        <v>43280</v>
      </c>
      <c r="I24" s="34">
        <f>(G24/H24)-1</f>
        <v>7.451478743068396E-2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6000</v>
      </c>
      <c r="E26" s="41">
        <f>SUM(E27:E28)</f>
        <v>6200</v>
      </c>
      <c r="F26" s="42">
        <f>(D26/E26)-1</f>
        <v>-3.2258064516129004E-2</v>
      </c>
      <c r="G26" s="41">
        <f>SUM(G27:G28)</f>
        <v>66350</v>
      </c>
      <c r="H26" s="41">
        <f>SUM(H27:H28)</f>
        <v>63250</v>
      </c>
      <c r="I26" s="42">
        <f>(G26/H26)-1</f>
        <v>4.9011857707509821E-2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Statistics'!M21</f>
        <v>5700</v>
      </c>
      <c r="E27" s="3">
        <f>'2018 Statistics'!M21</f>
        <v>6200</v>
      </c>
      <c r="F27" s="29">
        <f>(D27/E27)-1</f>
        <v>-8.064516129032262E-2</v>
      </c>
      <c r="G27" s="3">
        <f>SUM('2019 Statistics'!C21:M21)</f>
        <v>65150</v>
      </c>
      <c r="H27" s="3">
        <f>SUM('2018 Statistics'!C21:M21)</f>
        <v>61150</v>
      </c>
      <c r="I27" s="29">
        <f>(G27/H27)-1</f>
        <v>6.5412919051512697E-2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Statistics'!M22</f>
        <v>300</v>
      </c>
      <c r="E28" s="3">
        <f>'2018 Statistics'!M22</f>
        <v>0</v>
      </c>
      <c r="F28" s="26">
        <v>1</v>
      </c>
      <c r="G28" s="3">
        <f>SUM('2019 Statistics'!C22:M22)</f>
        <v>1200</v>
      </c>
      <c r="H28" s="3">
        <f>SUM('2018 Statistics'!C22:M22)</f>
        <v>2100</v>
      </c>
      <c r="I28" s="29">
        <f>(G28/H28)-1</f>
        <v>-0.4285714285714286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'2019 Statistics'!M24</f>
        <v>0.67683333333333329</v>
      </c>
      <c r="E30" s="43">
        <f>'2018 Statistics'!L24</f>
        <v>0.69770491803278689</v>
      </c>
      <c r="F30" s="42">
        <f>D30-E30</f>
        <v>-2.0871584699453605E-2</v>
      </c>
      <c r="G30" s="43">
        <f>G24/G26</f>
        <v>0.70090429540316501</v>
      </c>
      <c r="H30" s="43">
        <f>(H24/H26)</f>
        <v>0.68426877470355729</v>
      </c>
      <c r="I30" s="42">
        <f>G30-H30</f>
        <v>1.663552069960772E-2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0.66228070175438591</v>
      </c>
      <c r="E31" s="26">
        <f>'2018 Statistics'!M25</f>
        <v>0.68822580645161291</v>
      </c>
      <c r="F31" s="29">
        <f>D31-E31</f>
        <v>-2.5945104697226995E-2</v>
      </c>
      <c r="G31" s="26">
        <f>(SUM(G13,G19)/G27)</f>
        <v>0.66357636224098238</v>
      </c>
      <c r="H31" s="26">
        <f>(SUM(H13,H19)/H27)</f>
        <v>0.65574816026165172</v>
      </c>
      <c r="I31" s="109">
        <f>G31-H31</f>
        <v>7.8282019793306512E-3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>
        <f>(SUM(D15,D21)/D28)</f>
        <v>0.95333333333333337</v>
      </c>
      <c r="E32" s="116" t="s">
        <v>33</v>
      </c>
      <c r="F32" s="113" t="s">
        <v>33</v>
      </c>
      <c r="G32" s="26">
        <f>SUM(G21,G15)/G28</f>
        <v>0.92583333333333329</v>
      </c>
      <c r="H32" s="26">
        <f>SUM(H21,H15)/H28</f>
        <v>0.65333333333333332</v>
      </c>
      <c r="I32" s="29">
        <f>G32-H32</f>
        <v>0.27249999999999996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Statistics'!M28</f>
        <v>0.95</v>
      </c>
      <c r="E34" s="44">
        <f>'2018 Statistics'!M28</f>
        <v>1</v>
      </c>
      <c r="F34" s="42">
        <v>-0.02</v>
      </c>
      <c r="G34" s="121">
        <f>SUM('2019 Statistics'!C30:M30)/SUM('2019 Statistics'!C29:M29)</f>
        <v>0.97311426437640025</v>
      </c>
      <c r="H34" s="34">
        <f>SUM('2018 Statistics'!C30:M30)/SUM('2018 Statistics'!C29:M29)</f>
        <v>0.98868229587712209</v>
      </c>
      <c r="I34" s="42">
        <f>(G34/H34)-1</f>
        <v>-1.5746242817982758E-2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Statistics'!M32</f>
        <v>103361</v>
      </c>
      <c r="E36" s="33">
        <f>'2018 Statistics'!M32</f>
        <v>104247</v>
      </c>
      <c r="F36" s="42">
        <f>(D36/E36)-1</f>
        <v>-8.4990455360826056E-3</v>
      </c>
      <c r="G36" s="46">
        <f>SUM(G37:G43)</f>
        <v>1242035</v>
      </c>
      <c r="H36" s="33">
        <f>SUM(H37:H43)</f>
        <v>1107759</v>
      </c>
      <c r="I36" s="42">
        <f>(G36/H36)-1</f>
        <v>0.12121409079050594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Statistics'!M33</f>
        <v>43440</v>
      </c>
      <c r="E37" s="96">
        <f>'2018 Statistics'!M33</f>
        <v>42065</v>
      </c>
      <c r="F37" s="98">
        <f>(D37/E37)-1</f>
        <v>3.2687507428978968E-2</v>
      </c>
      <c r="G37" s="96">
        <f>SUM('2019 Statistics'!C33:M33)</f>
        <v>546358</v>
      </c>
      <c r="H37" s="96">
        <f>SUM('2018 Statistics'!C33:M33)</f>
        <v>480539</v>
      </c>
      <c r="I37" s="98">
        <f>(G37/H37)-1</f>
        <v>0.13696911176824367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Statistics'!M34</f>
        <v>0</v>
      </c>
      <c r="E38" s="96">
        <f>'2018 Statistics'!M34</f>
        <v>0</v>
      </c>
      <c r="F38" s="109" t="s">
        <v>33</v>
      </c>
      <c r="G38" s="96">
        <f>SUM('2019 Statistics'!C34:M34)</f>
        <v>685</v>
      </c>
      <c r="H38" s="96">
        <f>SUM('2018 Statistics'!C34:M34)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Statistics'!M35</f>
        <v>24332</v>
      </c>
      <c r="E39" s="96">
        <f>'2018 Statistics'!M35</f>
        <v>12307</v>
      </c>
      <c r="F39" s="98">
        <f t="shared" ref="F39:F41" si="5">(D39/E39)-1</f>
        <v>0.97708621109937432</v>
      </c>
      <c r="G39" s="96">
        <f>SUM('2019 Statistics'!C35:M35)</f>
        <v>176867</v>
      </c>
      <c r="H39" s="96">
        <f>SUM('2018 Statistics'!C35:M35)</f>
        <v>121902</v>
      </c>
      <c r="I39" s="98">
        <f t="shared" si="4"/>
        <v>0.45089498121441807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Statistics'!M36</f>
        <v>0</v>
      </c>
      <c r="E40" s="96">
        <f>'2018 Statistics'!M36</f>
        <v>0</v>
      </c>
      <c r="F40" s="109" t="s">
        <v>33</v>
      </c>
      <c r="G40" s="96">
        <f>SUM('2019 Statistics'!C36:M36)</f>
        <v>0</v>
      </c>
      <c r="H40" s="96">
        <f>SUM('2018 Statistics'!C36:M36)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Statistics'!M37</f>
        <v>35589</v>
      </c>
      <c r="E41" s="96">
        <f>'2018 Statistics'!M37</f>
        <v>49875</v>
      </c>
      <c r="F41" s="98">
        <f t="shared" si="5"/>
        <v>-0.28643609022556393</v>
      </c>
      <c r="G41" s="96">
        <f>SUM('2019 Statistics'!C37:M37)</f>
        <v>518125</v>
      </c>
      <c r="H41" s="96">
        <f>SUM('2018 Statistics'!C37:M37)</f>
        <v>503336</v>
      </c>
      <c r="I41" s="98">
        <f t="shared" si="4"/>
        <v>2.9381963539266032E-2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Statistics'!M38</f>
        <v>0</v>
      </c>
      <c r="E42" s="96">
        <f>'2018 Statistics'!M38</f>
        <v>0</v>
      </c>
      <c r="F42" s="109" t="s">
        <v>33</v>
      </c>
      <c r="G42" s="96">
        <f>SUM('2019 Statistics'!C38:M38)</f>
        <v>0</v>
      </c>
      <c r="H42" s="96">
        <f>SUM('2018 Statistics'!C38:M38)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Statistics'!M39</f>
        <v>0</v>
      </c>
      <c r="E43" s="96">
        <f>'2018 Statistics'!M39</f>
        <v>0</v>
      </c>
      <c r="F43" s="109" t="s">
        <v>33</v>
      </c>
      <c r="G43" s="96">
        <f>SUM('2019 Statistics'!C39:M39)</f>
        <v>0</v>
      </c>
      <c r="H43" s="96">
        <f>SUM('2018 Statistics'!C39:M39)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Statistics'!M41</f>
        <v>3579092</v>
      </c>
      <c r="E45" s="46">
        <f>'2018 Statistics'!M41</f>
        <v>4125302</v>
      </c>
      <c r="F45" s="42">
        <f>(D45/E45)-1</f>
        <v>-0.13240485181448536</v>
      </c>
      <c r="G45" s="46">
        <f>SUM('2019 Statistics'!C41:M41)</f>
        <v>43062148</v>
      </c>
      <c r="H45" s="46">
        <f>SUM('2018 Statistics'!C41:M41)</f>
        <v>41775822</v>
      </c>
      <c r="I45" s="42">
        <f>(G45/H45)-1</f>
        <v>3.0791159537207902E-2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DD7E-38D9-421D-A565-B9FAF0239330}">
  <sheetPr>
    <pageSetUpPr fitToPage="1"/>
  </sheetPr>
  <dimension ref="A1:L52"/>
  <sheetViews>
    <sheetView topLeftCell="A7" zoomScaleNormal="100" workbookViewId="0">
      <selection activeCell="H46" sqref="H46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68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</row>
    <row r="10" spans="1:12" ht="16.5" customHeight="1" x14ac:dyDescent="0.25">
      <c r="B10" s="136"/>
      <c r="C10" s="136"/>
      <c r="D10" s="132" t="s">
        <v>0</v>
      </c>
      <c r="E10" s="132"/>
      <c r="F10" s="130" t="s">
        <v>1</v>
      </c>
      <c r="G10" s="132" t="s">
        <v>2</v>
      </c>
      <c r="H10" s="132"/>
      <c r="I10" s="130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30" t="s">
        <v>3</v>
      </c>
      <c r="G11" s="48">
        <v>2019</v>
      </c>
      <c r="H11" s="48">
        <v>2018</v>
      </c>
      <c r="I11" s="130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2228</v>
      </c>
      <c r="E12" s="33">
        <f>SUM(E13,E15,E16)</f>
        <v>2359</v>
      </c>
      <c r="F12" s="34">
        <f>(D12/E12)-1</f>
        <v>-5.5532005086901259E-2</v>
      </c>
      <c r="G12" s="33">
        <f>SUM(G13,G15,G16)</f>
        <v>25562</v>
      </c>
      <c r="H12" s="33">
        <f>SUM(H13,H15,H16)</f>
        <v>24128</v>
      </c>
      <c r="I12" s="34">
        <f>(G12/H12)-1</f>
        <v>5.9433023872679014E-2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Statistics'!N3</f>
        <v>2228</v>
      </c>
      <c r="E13" s="36">
        <f>'2018 Statistics'!N3</f>
        <v>2268</v>
      </c>
      <c r="F13" s="37">
        <f>(D13/E13)-1</f>
        <v>-1.7636684303350969E-2</v>
      </c>
      <c r="G13" s="36">
        <f>SUM('2019 Statistics'!C3:N3)</f>
        <v>23915</v>
      </c>
      <c r="H13" s="36">
        <f>SUM('2018 Statistics'!C3:N3)</f>
        <v>22443</v>
      </c>
      <c r="I13" s="37">
        <f>(G13/H13)-1</f>
        <v>6.5588379450162604E-2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Statistics'!N4</f>
        <v>2228</v>
      </c>
      <c r="E14" s="3">
        <f>'2018 Statistics'!N4</f>
        <v>2268</v>
      </c>
      <c r="F14" s="29">
        <f>(D14/E14)-1</f>
        <v>-1.7636684303350969E-2</v>
      </c>
      <c r="G14" s="3">
        <f>SUM('2019 Statistics'!C4:N4)</f>
        <v>23915</v>
      </c>
      <c r="H14" s="47">
        <f>SUM('2018 Statistics'!C3:N3)</f>
        <v>22443</v>
      </c>
      <c r="I14" s="29">
        <f>(G14/H14)-1</f>
        <v>6.5588379450162604E-2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Statistics'!N5</f>
        <v>0</v>
      </c>
      <c r="E15" s="36">
        <f>'2018 Statistics'!N5</f>
        <v>0</v>
      </c>
      <c r="F15" s="28">
        <v>0</v>
      </c>
      <c r="G15" s="36">
        <f>SUM('2019 Statistics'!C5:N5)</f>
        <v>557</v>
      </c>
      <c r="H15" s="36">
        <f>SUM('2018 Statistics'!C5:N5)</f>
        <v>687</v>
      </c>
      <c r="I15" s="28">
        <f t="shared" ref="I15:I16" si="0">(G15/H15)-1</f>
        <v>-0.18922852983988359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Statistics'!N8</f>
        <v>0</v>
      </c>
      <c r="E16" s="36">
        <f>'2018 Statistics'!N8</f>
        <v>91</v>
      </c>
      <c r="F16" s="28">
        <f t="shared" ref="F16" si="1">(D16/E16)-1</f>
        <v>-1</v>
      </c>
      <c r="G16" s="36">
        <f>SUM('2019 Statistics'!C8:N8)</f>
        <v>1090</v>
      </c>
      <c r="H16" s="36">
        <f>SUM('2018 Statistics'!C8:N8)</f>
        <v>998</v>
      </c>
      <c r="I16" s="28">
        <f t="shared" si="0"/>
        <v>9.2184368737475042E-2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2248</v>
      </c>
      <c r="E18" s="33">
        <f>SUM(E19,E21,E22)</f>
        <v>2306</v>
      </c>
      <c r="F18" s="34">
        <f>(D18/E18)-1</f>
        <v>-2.5151777970511713E-2</v>
      </c>
      <c r="G18" s="33">
        <f>SUM(G19,G21,G22)</f>
        <v>25419</v>
      </c>
      <c r="H18" s="33">
        <f>SUM(H19,H21,H22)</f>
        <v>23817</v>
      </c>
      <c r="I18" s="34">
        <f>(G18/H18)-1</f>
        <v>6.7262879455850966E-2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Statistics'!N11</f>
        <v>2248</v>
      </c>
      <c r="E19" s="36">
        <f>'2018 Statistics'!N11</f>
        <v>2218</v>
      </c>
      <c r="F19" s="37">
        <f>(D19/E19)-1</f>
        <v>1.352569882777277E-2</v>
      </c>
      <c r="G19" s="36">
        <f>SUM('2019 Statistics'!C11:N11)</f>
        <v>23793</v>
      </c>
      <c r="H19" s="36">
        <f>SUM('2018 Statistics'!C11:N11)</f>
        <v>22142</v>
      </c>
      <c r="I19" s="37">
        <f>(G19/H19)-1</f>
        <v>7.4564176677806904E-2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Statistics'!N12</f>
        <v>2248</v>
      </c>
      <c r="E20" s="3">
        <f>'2018 Statistics'!N12</f>
        <v>2218</v>
      </c>
      <c r="F20" s="29">
        <f>(D20/E20)-1</f>
        <v>1.352569882777277E-2</v>
      </c>
      <c r="G20" s="47">
        <f>SUM('2019 Statistics'!C12:N12)</f>
        <v>23793</v>
      </c>
      <c r="H20" s="47">
        <f>SUM('2018 Statistics'!C12:N12)</f>
        <v>22142</v>
      </c>
      <c r="I20" s="29">
        <f>(G20/H20)-1</f>
        <v>7.4564176677806904E-2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Statistics'!N13</f>
        <v>0</v>
      </c>
      <c r="E21" s="36">
        <f>'2018 Statistics'!N13</f>
        <v>0</v>
      </c>
      <c r="F21" s="28">
        <v>0</v>
      </c>
      <c r="G21" s="36">
        <f>SUM('2019 Statistics'!C13:N13)</f>
        <v>554</v>
      </c>
      <c r="H21" s="36">
        <f>SUM('2018 Statistics'!C13:N13)</f>
        <v>685</v>
      </c>
      <c r="I21" s="28">
        <f t="shared" ref="I21:I22" si="2">(G21/H21)-1</f>
        <v>-0.19124087591240879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Statistics'!N16</f>
        <v>0</v>
      </c>
      <c r="E22" s="36">
        <f>'2018 Statistics'!N16</f>
        <v>88</v>
      </c>
      <c r="F22" s="28">
        <f t="shared" ref="F22" si="3">(D22/E22)-1</f>
        <v>-1</v>
      </c>
      <c r="G22" s="36">
        <f>SUM('2019 Statistics'!C16:N16)</f>
        <v>1072</v>
      </c>
      <c r="H22" s="36">
        <f>SUM('2018 Statistics'!C16:N16)</f>
        <v>990</v>
      </c>
      <c r="I22" s="28">
        <f t="shared" si="2"/>
        <v>8.2828282828282918E-2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4476</v>
      </c>
      <c r="E24" s="33">
        <f>SUM(E12,E18)</f>
        <v>4665</v>
      </c>
      <c r="F24" s="34">
        <f>(D24/E24)-1</f>
        <v>-4.0514469453376223E-2</v>
      </c>
      <c r="G24" s="33">
        <f>SUM(G18,G12)</f>
        <v>50981</v>
      </c>
      <c r="H24" s="33">
        <f>SUM(H18,H12)</f>
        <v>47945</v>
      </c>
      <c r="I24" s="34">
        <f>(G24/H24)-1</f>
        <v>6.3322557096673338E-2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6100</v>
      </c>
      <c r="E26" s="41">
        <f>SUM(E27:E28)</f>
        <v>6200</v>
      </c>
      <c r="F26" s="42">
        <f>(D26/E26)-1</f>
        <v>-1.6129032258064502E-2</v>
      </c>
      <c r="G26" s="41">
        <f>SUM(G27:G28)</f>
        <v>72450</v>
      </c>
      <c r="H26" s="41">
        <f>SUM(H27:H28)</f>
        <v>69450</v>
      </c>
      <c r="I26" s="42">
        <f>(G26/H26)-1</f>
        <v>4.3196544276457916E-2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Statistics'!N21</f>
        <v>6100</v>
      </c>
      <c r="E27" s="3">
        <f>'2018 Statistics'!N21</f>
        <v>6200</v>
      </c>
      <c r="F27" s="29">
        <f>(D27/E27)-1</f>
        <v>-1.6129032258064502E-2</v>
      </c>
      <c r="G27" s="3">
        <f>SUM('2019 Statistics'!C21:N21)</f>
        <v>71250</v>
      </c>
      <c r="H27" s="3">
        <f>SUM('2018 Statistics'!C21:N21)</f>
        <v>67350</v>
      </c>
      <c r="I27" s="29">
        <f>(G27/H27)-1</f>
        <v>5.7906458797327476E-2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Statistics'!N22</f>
        <v>0</v>
      </c>
      <c r="E28" s="3">
        <f>'2018 Statistics'!N22</f>
        <v>0</v>
      </c>
      <c r="F28" s="26">
        <v>1</v>
      </c>
      <c r="G28" s="3">
        <f>SUM('2019 Statistics'!C22:N22)</f>
        <v>1200</v>
      </c>
      <c r="H28" s="3">
        <f>SUM('2018 Statistics'!C22:N22)</f>
        <v>2100</v>
      </c>
      <c r="I28" s="29">
        <f>(G28/H28)-1</f>
        <v>-0.4285714285714286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'2019 Statistics'!N24</f>
        <v>0.73377049180327869</v>
      </c>
      <c r="E30" s="43">
        <f>'2018 Statistics'!N24</f>
        <v>0.72354838709677416</v>
      </c>
      <c r="F30" s="42">
        <f>D30-E30</f>
        <v>1.0222104706504531E-2</v>
      </c>
      <c r="G30" s="43">
        <f>G24/G26</f>
        <v>0.70367149758454106</v>
      </c>
      <c r="H30" s="43">
        <f>(H24/H26)</f>
        <v>0.69035277177825771</v>
      </c>
      <c r="I30" s="42">
        <f>G30-H30</f>
        <v>1.3318725806283349E-2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0.73377049180327869</v>
      </c>
      <c r="E31" s="26">
        <f>'2018 Statistics'!N25</f>
        <v>0.72354838709677416</v>
      </c>
      <c r="F31" s="29">
        <f>D31-E31</f>
        <v>1.0222104706504531E-2</v>
      </c>
      <c r="G31" s="26">
        <f>(SUM(G13,G19)/G27)</f>
        <v>0.66958596491228073</v>
      </c>
      <c r="H31" s="26">
        <f>(SUM(H13,H19)/H27)</f>
        <v>0.6619896065330364</v>
      </c>
      <c r="I31" s="109">
        <f>G31-H31</f>
        <v>7.5963583792443279E-3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116" t="s">
        <v>33</v>
      </c>
      <c r="E32" s="116" t="s">
        <v>33</v>
      </c>
      <c r="F32" s="113" t="s">
        <v>33</v>
      </c>
      <c r="G32" s="26">
        <f>SUM(G21,G15)/G28</f>
        <v>0.92583333333333329</v>
      </c>
      <c r="H32" s="26">
        <f>SUM(H21,H15)/H28</f>
        <v>0.65333333333333332</v>
      </c>
      <c r="I32" s="29">
        <f>G32-H32</f>
        <v>0.27249999999999996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Statistics'!N28</f>
        <v>0.93846153846153846</v>
      </c>
      <c r="E34" s="44">
        <f>'2018 Statistics'!N28</f>
        <v>1</v>
      </c>
      <c r="F34" s="42">
        <v>-0.02</v>
      </c>
      <c r="G34" s="121">
        <f>SUM('2019 Statistics'!C30:N30)/SUM('2019 Statistics'!C29:N29)</f>
        <v>0.97004765146358063</v>
      </c>
      <c r="H34" s="34">
        <f>SUM('2018 Statistics'!C30:N30)/SUM('2018 Statistics'!C29:N29)</f>
        <v>0.98971344599559152</v>
      </c>
      <c r="I34" s="42">
        <f>(G34/H34)-1</f>
        <v>-1.9870190317792691E-2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Statistics'!N32</f>
        <v>90141</v>
      </c>
      <c r="E36" s="33">
        <f>'2018 Statistics'!N32</f>
        <v>114823</v>
      </c>
      <c r="F36" s="42">
        <f>(D36/E36)-1</f>
        <v>-0.21495693371537061</v>
      </c>
      <c r="G36" s="46">
        <f>SUM(G37:G43)</f>
        <v>1332176</v>
      </c>
      <c r="H36" s="33">
        <f>SUM(H37:H43)</f>
        <v>1222582</v>
      </c>
      <c r="I36" s="42">
        <f>(G36/H36)-1</f>
        <v>8.9641431004218841E-2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Statistics'!N33</f>
        <v>45705</v>
      </c>
      <c r="E37" s="96">
        <f>'2018 Statistics'!N33</f>
        <v>45255</v>
      </c>
      <c r="F37" s="98">
        <f>(D37/E37)-1</f>
        <v>9.9436526350680232E-3</v>
      </c>
      <c r="G37" s="96">
        <f>SUM('2019 Statistics'!C33:N33)</f>
        <v>592063</v>
      </c>
      <c r="H37" s="96">
        <f>SUM('2018 Statistics'!C33:N33)</f>
        <v>525794</v>
      </c>
      <c r="I37" s="98">
        <f>(G37/H37)-1</f>
        <v>0.12603605214209357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Statistics'!N34</f>
        <v>0</v>
      </c>
      <c r="E38" s="96">
        <f>'2018 Statistics'!N34</f>
        <v>0</v>
      </c>
      <c r="F38" s="109" t="s">
        <v>33</v>
      </c>
      <c r="G38" s="96">
        <f>SUM('2019 Statistics'!C34:N34)</f>
        <v>685</v>
      </c>
      <c r="H38" s="96">
        <f>SUM('2018 Statistics'!C34:N34)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Statistics'!N35</f>
        <v>6557</v>
      </c>
      <c r="E39" s="96">
        <f>'2018 Statistics'!N35</f>
        <v>17334</v>
      </c>
      <c r="F39" s="98">
        <f t="shared" ref="F39:F41" si="5">(D39/E39)-1</f>
        <v>-0.6217260874581747</v>
      </c>
      <c r="G39" s="96">
        <f>SUM('2019 Statistics'!C35:N35)</f>
        <v>183424</v>
      </c>
      <c r="H39" s="96">
        <f>SUM('2018 Statistics'!C35:N35)</f>
        <v>139236</v>
      </c>
      <c r="I39" s="98">
        <f t="shared" si="4"/>
        <v>0.31736045275647107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Statistics'!N36</f>
        <v>0</v>
      </c>
      <c r="E40" s="96">
        <f>'2018 Statistics'!N36</f>
        <v>205</v>
      </c>
      <c r="F40" s="109" t="s">
        <v>33</v>
      </c>
      <c r="G40" s="96">
        <f>SUM('2019 Statistics'!C36:N36)</f>
        <v>0</v>
      </c>
      <c r="H40" s="96">
        <f>SUM('2018 Statistics'!C36:N36)</f>
        <v>205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Statistics'!N37</f>
        <v>37879</v>
      </c>
      <c r="E41" s="96">
        <f>'2018 Statistics'!N37</f>
        <v>52029</v>
      </c>
      <c r="F41" s="98">
        <f t="shared" si="5"/>
        <v>-0.27196371254492691</v>
      </c>
      <c r="G41" s="96">
        <f>SUM('2019 Statistics'!C37:N37)</f>
        <v>556004</v>
      </c>
      <c r="H41" s="96">
        <f>SUM('2018 Statistics'!C37:N37)</f>
        <v>555365</v>
      </c>
      <c r="I41" s="98">
        <f t="shared" si="4"/>
        <v>1.1505946539662748E-3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Statistics'!N38</f>
        <v>0</v>
      </c>
      <c r="E42" s="96">
        <f>'2018 Statistics'!N38</f>
        <v>0</v>
      </c>
      <c r="F42" s="109" t="s">
        <v>33</v>
      </c>
      <c r="G42" s="96">
        <f>SUM('2019 Statistics'!C38:N38)</f>
        <v>0</v>
      </c>
      <c r="H42" s="96">
        <f>SUM('2018 Statistics'!C38:N38)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Statistics'!N39</f>
        <v>0</v>
      </c>
      <c r="E43" s="96">
        <f>'2018 Statistics'!N39</f>
        <v>0</v>
      </c>
      <c r="F43" s="109" t="s">
        <v>33</v>
      </c>
      <c r="G43" s="96">
        <f>SUM('2019 Statistics'!C39:N39)</f>
        <v>0</v>
      </c>
      <c r="H43" s="96">
        <f>SUM('2018 Statistics'!C39:N39)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Statistics'!N41</f>
        <v>3617557</v>
      </c>
      <c r="E45" s="46">
        <f>'2018 Statistics'!N41</f>
        <v>4073585</v>
      </c>
      <c r="F45" s="42">
        <f>(D45/E45)-1</f>
        <v>-0.11194758425318241</v>
      </c>
      <c r="G45" s="46">
        <f>SUM('2019 Statistics'!C41:N41)</f>
        <v>46679705</v>
      </c>
      <c r="H45" s="46">
        <f>SUM('2018 Statistics'!C41:N41)</f>
        <v>45849407</v>
      </c>
      <c r="I45" s="42">
        <f>(G45/H45)-1</f>
        <v>1.8109241849082247E-2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5"/>
  <sheetViews>
    <sheetView workbookViewId="0">
      <selection activeCell="C32" sqref="C32:H32"/>
    </sheetView>
  </sheetViews>
  <sheetFormatPr defaultColWidth="10" defaultRowHeight="14.25" x14ac:dyDescent="0.2"/>
  <cols>
    <col min="1" max="1" width="3.140625" style="49" customWidth="1"/>
    <col min="2" max="2" width="28.5703125" style="49" customWidth="1"/>
    <col min="3" max="3" width="12" style="64" customWidth="1"/>
    <col min="4" max="4" width="12" style="85" customWidth="1"/>
    <col min="5" max="8" width="12" style="49" customWidth="1"/>
    <col min="9" max="9" width="12" style="84" customWidth="1"/>
    <col min="10" max="14" width="12" style="49" customWidth="1"/>
    <col min="15" max="15" width="16.42578125" style="49" customWidth="1"/>
    <col min="16" max="16384" width="10" style="54"/>
  </cols>
  <sheetData>
    <row r="1" spans="1:15" ht="20.25" customHeight="1" x14ac:dyDescent="0.2">
      <c r="B1" s="105"/>
      <c r="C1" s="50">
        <v>42736</v>
      </c>
      <c r="D1" s="50">
        <v>42767</v>
      </c>
      <c r="E1" s="51">
        <v>42795</v>
      </c>
      <c r="F1" s="50">
        <v>42826</v>
      </c>
      <c r="G1" s="50">
        <v>42856</v>
      </c>
      <c r="H1" s="51">
        <v>42887</v>
      </c>
      <c r="I1" s="52">
        <v>42917</v>
      </c>
      <c r="J1" s="50">
        <v>42948</v>
      </c>
      <c r="K1" s="51">
        <v>42979</v>
      </c>
      <c r="L1" s="50">
        <v>43009</v>
      </c>
      <c r="M1" s="50">
        <v>43040</v>
      </c>
      <c r="N1" s="51">
        <v>43070</v>
      </c>
      <c r="O1" s="53" t="s">
        <v>16</v>
      </c>
    </row>
    <row r="2" spans="1:15" s="49" customFormat="1" ht="12.75" x14ac:dyDescent="0.2">
      <c r="A2" s="55" t="s">
        <v>4</v>
      </c>
      <c r="B2" s="55"/>
      <c r="C2" s="56">
        <f>SUM(C3,C5,C8)</f>
        <v>1317</v>
      </c>
      <c r="D2" s="56">
        <f t="shared" ref="D2:N2" si="0">SUM(D3,D5,D8)</f>
        <v>1464</v>
      </c>
      <c r="E2" s="56">
        <f t="shared" si="0"/>
        <v>1334</v>
      </c>
      <c r="F2" s="56">
        <f t="shared" si="0"/>
        <v>1516</v>
      </c>
      <c r="G2" s="56">
        <f t="shared" si="0"/>
        <v>1596</v>
      </c>
      <c r="H2" s="56">
        <f t="shared" si="0"/>
        <v>1490</v>
      </c>
      <c r="I2" s="56">
        <f t="shared" si="0"/>
        <v>1624</v>
      </c>
      <c r="J2" s="56">
        <f t="shared" si="0"/>
        <v>1660</v>
      </c>
      <c r="K2" s="56">
        <f t="shared" si="0"/>
        <v>1562</v>
      </c>
      <c r="L2" s="56">
        <f t="shared" si="0"/>
        <v>1493</v>
      </c>
      <c r="M2" s="56">
        <f t="shared" si="0"/>
        <v>1714</v>
      </c>
      <c r="N2" s="56">
        <f t="shared" si="0"/>
        <v>1555</v>
      </c>
      <c r="O2" s="57">
        <f>SUM(C2:N2)</f>
        <v>18325</v>
      </c>
    </row>
    <row r="3" spans="1:15" s="49" customFormat="1" ht="12.75" x14ac:dyDescent="0.2">
      <c r="A3" s="58" t="s">
        <v>5</v>
      </c>
      <c r="B3" s="58"/>
      <c r="C3" s="59">
        <f>SUM(C4)</f>
        <v>1248</v>
      </c>
      <c r="D3" s="59">
        <v>1255</v>
      </c>
      <c r="E3" s="60">
        <v>1334</v>
      </c>
      <c r="F3" s="61">
        <v>1371</v>
      </c>
      <c r="G3" s="61">
        <v>1596</v>
      </c>
      <c r="H3" s="61">
        <v>1440</v>
      </c>
      <c r="I3" s="61">
        <v>1464</v>
      </c>
      <c r="J3" s="60">
        <v>1660</v>
      </c>
      <c r="K3" s="61">
        <v>1420</v>
      </c>
      <c r="L3" s="61">
        <v>1493</v>
      </c>
      <c r="M3" s="61">
        <v>1564</v>
      </c>
      <c r="N3" s="61">
        <v>1555</v>
      </c>
      <c r="O3" s="60">
        <f t="shared" ref="O3:O8" si="1">SUM(C3:N3)</f>
        <v>17400</v>
      </c>
    </row>
    <row r="4" spans="1:15" s="49" customFormat="1" ht="12.75" x14ac:dyDescent="0.2">
      <c r="B4" s="62" t="s">
        <v>10</v>
      </c>
      <c r="C4" s="64">
        <v>1248</v>
      </c>
      <c r="D4" s="64">
        <v>1255</v>
      </c>
      <c r="E4" s="65">
        <v>1334</v>
      </c>
      <c r="F4" s="66">
        <v>1371</v>
      </c>
      <c r="G4" s="66">
        <v>1596</v>
      </c>
      <c r="H4" s="66">
        <v>1440</v>
      </c>
      <c r="I4" s="66">
        <v>1464</v>
      </c>
      <c r="J4" s="65">
        <v>1660</v>
      </c>
      <c r="K4" s="66">
        <v>1420</v>
      </c>
      <c r="L4" s="66">
        <v>1493</v>
      </c>
      <c r="M4" s="66">
        <v>1564</v>
      </c>
      <c r="N4" s="66">
        <v>1555</v>
      </c>
      <c r="O4" s="60">
        <f t="shared" si="1"/>
        <v>17400</v>
      </c>
    </row>
    <row r="5" spans="1:15" s="49" customFormat="1" ht="12.75" x14ac:dyDescent="0.2">
      <c r="A5" s="58" t="s">
        <v>11</v>
      </c>
      <c r="B5" s="62"/>
      <c r="C5" s="59">
        <v>0</v>
      </c>
      <c r="D5" s="59">
        <v>144</v>
      </c>
      <c r="E5" s="60">
        <v>0</v>
      </c>
      <c r="F5" s="61">
        <v>145</v>
      </c>
      <c r="G5" s="61">
        <v>0</v>
      </c>
      <c r="H5" s="60">
        <v>0</v>
      </c>
      <c r="I5" s="60">
        <v>128</v>
      </c>
      <c r="J5" s="60">
        <v>0</v>
      </c>
      <c r="K5" s="61">
        <v>142</v>
      </c>
      <c r="L5" s="61">
        <v>0</v>
      </c>
      <c r="M5" s="61">
        <v>150</v>
      </c>
      <c r="N5" s="61">
        <v>0</v>
      </c>
      <c r="O5" s="67">
        <f t="shared" si="1"/>
        <v>709</v>
      </c>
    </row>
    <row r="6" spans="1:15" s="49" customFormat="1" ht="12.75" x14ac:dyDescent="0.2">
      <c r="B6" s="62" t="s">
        <v>12</v>
      </c>
      <c r="C6" s="64">
        <v>0</v>
      </c>
      <c r="D6" s="64">
        <v>144</v>
      </c>
      <c r="E6" s="65">
        <v>0</v>
      </c>
      <c r="F6" s="66">
        <v>0</v>
      </c>
      <c r="G6" s="66">
        <v>0</v>
      </c>
      <c r="H6" s="65">
        <v>0</v>
      </c>
      <c r="I6" s="65">
        <v>0</v>
      </c>
      <c r="J6" s="65">
        <v>0</v>
      </c>
      <c r="K6" s="66">
        <v>0</v>
      </c>
      <c r="L6" s="66">
        <v>0</v>
      </c>
      <c r="M6" s="66">
        <v>0</v>
      </c>
      <c r="N6" s="66">
        <v>0</v>
      </c>
      <c r="O6" s="67">
        <f t="shared" si="1"/>
        <v>144</v>
      </c>
    </row>
    <row r="7" spans="1:15" s="49" customFormat="1" ht="12.75" x14ac:dyDescent="0.2">
      <c r="B7" s="62" t="s">
        <v>36</v>
      </c>
      <c r="C7" s="64">
        <v>0</v>
      </c>
      <c r="D7" s="64">
        <v>0</v>
      </c>
      <c r="E7" s="65">
        <v>0</v>
      </c>
      <c r="F7" s="66">
        <v>145</v>
      </c>
      <c r="G7" s="66">
        <v>0</v>
      </c>
      <c r="H7" s="65">
        <v>0</v>
      </c>
      <c r="I7" s="65">
        <v>128</v>
      </c>
      <c r="J7" s="65">
        <v>0</v>
      </c>
      <c r="K7" s="66">
        <v>142</v>
      </c>
      <c r="L7" s="104">
        <v>0</v>
      </c>
      <c r="M7" s="104">
        <v>150</v>
      </c>
      <c r="N7" s="61">
        <v>0</v>
      </c>
      <c r="O7" s="67">
        <f t="shared" si="1"/>
        <v>565</v>
      </c>
    </row>
    <row r="8" spans="1:15" s="49" customFormat="1" ht="15.6" customHeight="1" x14ac:dyDescent="0.2">
      <c r="A8" s="58" t="s">
        <v>6</v>
      </c>
      <c r="B8" s="58"/>
      <c r="C8" s="59">
        <v>69</v>
      </c>
      <c r="D8" s="68">
        <v>65</v>
      </c>
      <c r="E8" s="60">
        <v>0</v>
      </c>
      <c r="F8" s="61">
        <v>0</v>
      </c>
      <c r="G8" s="61">
        <v>0</v>
      </c>
      <c r="H8" s="60">
        <v>50</v>
      </c>
      <c r="I8" s="60">
        <v>32</v>
      </c>
      <c r="J8" s="60">
        <v>0</v>
      </c>
      <c r="K8" s="103">
        <v>0</v>
      </c>
      <c r="L8" s="61">
        <v>0</v>
      </c>
      <c r="M8" s="61">
        <v>0</v>
      </c>
      <c r="N8" s="61">
        <v>0</v>
      </c>
      <c r="O8" s="67">
        <f t="shared" si="1"/>
        <v>216</v>
      </c>
    </row>
    <row r="9" spans="1:15" s="49" customFormat="1" ht="15.6" customHeight="1" x14ac:dyDescent="0.2">
      <c r="A9" s="58"/>
      <c r="B9" s="58"/>
      <c r="C9" s="64"/>
      <c r="D9" s="69"/>
      <c r="E9" s="70"/>
      <c r="F9" s="71"/>
      <c r="G9" s="71"/>
      <c r="H9" s="72"/>
      <c r="I9" s="70"/>
      <c r="J9" s="73"/>
      <c r="K9" s="74"/>
      <c r="L9" s="71"/>
      <c r="M9" s="71"/>
      <c r="N9" s="71"/>
    </row>
    <row r="10" spans="1:15" s="49" customFormat="1" ht="12.75" x14ac:dyDescent="0.2">
      <c r="A10" s="55" t="s">
        <v>29</v>
      </c>
      <c r="B10" s="55"/>
      <c r="C10" s="56">
        <f>SUM(C11,C13,C16)</f>
        <v>1323</v>
      </c>
      <c r="D10" s="56">
        <f>SUM(D11,D13,D16)</f>
        <v>1335</v>
      </c>
      <c r="E10" s="75">
        <f t="shared" ref="E10:N10" si="2">SUM(E11,E13,E16)</f>
        <v>1275</v>
      </c>
      <c r="F10" s="75">
        <f t="shared" si="2"/>
        <v>1599</v>
      </c>
      <c r="G10" s="75">
        <f t="shared" si="2"/>
        <v>1525</v>
      </c>
      <c r="H10" s="75">
        <f t="shared" si="2"/>
        <v>1567</v>
      </c>
      <c r="I10" s="75">
        <f t="shared" si="2"/>
        <v>1603</v>
      </c>
      <c r="J10" s="75">
        <f t="shared" si="2"/>
        <v>1587</v>
      </c>
      <c r="K10" s="75">
        <f t="shared" si="2"/>
        <v>1478</v>
      </c>
      <c r="L10" s="75">
        <f t="shared" si="2"/>
        <v>1449</v>
      </c>
      <c r="M10" s="75">
        <f t="shared" si="2"/>
        <v>1690</v>
      </c>
      <c r="N10" s="75">
        <f t="shared" si="2"/>
        <v>1517</v>
      </c>
      <c r="O10" s="57">
        <f t="shared" ref="O10:O16" si="3">SUM(C10:N10)</f>
        <v>17948</v>
      </c>
    </row>
    <row r="11" spans="1:15" s="49" customFormat="1" ht="12.75" x14ac:dyDescent="0.2">
      <c r="A11" s="58" t="s">
        <v>5</v>
      </c>
      <c r="B11" s="58"/>
      <c r="C11" s="59">
        <f>SUM(C12)</f>
        <v>1257</v>
      </c>
      <c r="D11" s="59">
        <v>1147</v>
      </c>
      <c r="E11" s="60">
        <v>1275</v>
      </c>
      <c r="F11" s="61">
        <v>1457</v>
      </c>
      <c r="G11" s="61">
        <v>1525</v>
      </c>
      <c r="H11" s="61">
        <v>1516</v>
      </c>
      <c r="I11" s="61">
        <v>1444</v>
      </c>
      <c r="J11" s="60">
        <v>1587</v>
      </c>
      <c r="K11" s="61">
        <v>1335</v>
      </c>
      <c r="L11" s="61">
        <v>1449</v>
      </c>
      <c r="M11" s="61">
        <v>1540</v>
      </c>
      <c r="N11" s="61">
        <v>1517</v>
      </c>
      <c r="O11" s="68">
        <f t="shared" si="3"/>
        <v>17049</v>
      </c>
    </row>
    <row r="12" spans="1:15" s="49" customFormat="1" ht="12.75" x14ac:dyDescent="0.2">
      <c r="B12" s="62" t="s">
        <v>10</v>
      </c>
      <c r="C12" s="64">
        <v>1257</v>
      </c>
      <c r="D12" s="64">
        <v>1147</v>
      </c>
      <c r="E12" s="65">
        <v>1275</v>
      </c>
      <c r="F12" s="66">
        <v>1457</v>
      </c>
      <c r="G12" s="66">
        <v>1525</v>
      </c>
      <c r="H12" s="66">
        <v>1516</v>
      </c>
      <c r="I12" s="66">
        <v>1444</v>
      </c>
      <c r="J12" s="65">
        <v>1587</v>
      </c>
      <c r="K12" s="66">
        <v>1335</v>
      </c>
      <c r="L12" s="66">
        <v>1449</v>
      </c>
      <c r="M12" s="66">
        <v>1540</v>
      </c>
      <c r="N12" s="66">
        <v>1517</v>
      </c>
      <c r="O12" s="68">
        <f t="shared" si="3"/>
        <v>17049</v>
      </c>
    </row>
    <row r="13" spans="1:15" s="49" customFormat="1" ht="12.75" x14ac:dyDescent="0.2">
      <c r="A13" s="58" t="s">
        <v>11</v>
      </c>
      <c r="B13" s="62"/>
      <c r="C13" s="59">
        <v>0</v>
      </c>
      <c r="D13" s="59">
        <v>144</v>
      </c>
      <c r="E13" s="60">
        <v>0</v>
      </c>
      <c r="F13" s="61">
        <v>142</v>
      </c>
      <c r="G13" s="61">
        <v>0</v>
      </c>
      <c r="H13" s="60">
        <v>0</v>
      </c>
      <c r="I13" s="60">
        <v>127</v>
      </c>
      <c r="J13" s="60">
        <v>0</v>
      </c>
      <c r="K13" s="61">
        <v>143</v>
      </c>
      <c r="L13" s="61">
        <v>0</v>
      </c>
      <c r="M13" s="61">
        <v>150</v>
      </c>
      <c r="N13" s="61">
        <v>0</v>
      </c>
      <c r="O13" s="68">
        <f t="shared" si="3"/>
        <v>706</v>
      </c>
    </row>
    <row r="14" spans="1:15" s="49" customFormat="1" ht="12.75" x14ac:dyDescent="0.2">
      <c r="B14" s="62" t="s">
        <v>12</v>
      </c>
      <c r="C14" s="64">
        <v>0</v>
      </c>
      <c r="D14" s="64">
        <v>0</v>
      </c>
      <c r="E14" s="65">
        <v>0</v>
      </c>
      <c r="F14" s="66">
        <v>0</v>
      </c>
      <c r="G14" s="66">
        <v>0</v>
      </c>
      <c r="H14" s="65">
        <v>0</v>
      </c>
      <c r="I14" s="65">
        <v>0</v>
      </c>
      <c r="J14" s="65">
        <v>0</v>
      </c>
      <c r="K14" s="66">
        <v>0</v>
      </c>
      <c r="L14" s="66">
        <v>0</v>
      </c>
      <c r="M14" s="66">
        <v>0</v>
      </c>
      <c r="N14" s="66">
        <v>0</v>
      </c>
      <c r="O14" s="68">
        <f t="shared" si="3"/>
        <v>0</v>
      </c>
    </row>
    <row r="15" spans="1:15" s="49" customFormat="1" ht="12.75" x14ac:dyDescent="0.2">
      <c r="B15" s="62" t="s">
        <v>36</v>
      </c>
      <c r="C15" s="64">
        <v>0</v>
      </c>
      <c r="D15" s="64">
        <v>144</v>
      </c>
      <c r="E15" s="65">
        <v>0</v>
      </c>
      <c r="F15" s="66">
        <v>142</v>
      </c>
      <c r="G15" s="66">
        <v>0</v>
      </c>
      <c r="H15" s="65">
        <v>0</v>
      </c>
      <c r="I15" s="65">
        <v>127</v>
      </c>
      <c r="J15" s="65">
        <v>0</v>
      </c>
      <c r="K15" s="66">
        <v>143</v>
      </c>
      <c r="L15" s="66">
        <v>0</v>
      </c>
      <c r="M15" s="104">
        <v>150</v>
      </c>
      <c r="N15" s="61">
        <v>0</v>
      </c>
      <c r="O15" s="68">
        <f t="shared" si="3"/>
        <v>706</v>
      </c>
    </row>
    <row r="16" spans="1:15" s="49" customFormat="1" ht="15.6" customHeight="1" x14ac:dyDescent="0.2">
      <c r="A16" s="58" t="s">
        <v>6</v>
      </c>
      <c r="B16" s="58"/>
      <c r="C16" s="59">
        <v>66</v>
      </c>
      <c r="D16" s="68">
        <v>44</v>
      </c>
      <c r="E16" s="60">
        <v>0</v>
      </c>
      <c r="F16" s="61">
        <v>0</v>
      </c>
      <c r="G16" s="61">
        <v>0</v>
      </c>
      <c r="H16" s="60">
        <v>51</v>
      </c>
      <c r="I16" s="60">
        <v>32</v>
      </c>
      <c r="J16" s="60">
        <v>0</v>
      </c>
      <c r="K16" s="60">
        <v>0</v>
      </c>
      <c r="L16" s="61">
        <v>0</v>
      </c>
      <c r="M16" s="61">
        <v>0</v>
      </c>
      <c r="N16" s="61">
        <v>0</v>
      </c>
      <c r="O16" s="68">
        <f t="shared" si="3"/>
        <v>193</v>
      </c>
    </row>
    <row r="17" spans="1:15" s="49" customFormat="1" ht="15.6" customHeight="1" x14ac:dyDescent="0.2">
      <c r="A17" s="58"/>
      <c r="B17" s="58"/>
      <c r="C17" s="64"/>
      <c r="D17" s="69"/>
      <c r="E17" s="76"/>
      <c r="F17" s="69"/>
      <c r="G17" s="69"/>
      <c r="H17" s="77"/>
      <c r="I17" s="70"/>
      <c r="J17" s="62"/>
      <c r="K17" s="78"/>
    </row>
    <row r="18" spans="1:15" s="49" customFormat="1" ht="15.6" customHeight="1" x14ac:dyDescent="0.2">
      <c r="A18" s="55" t="s">
        <v>30</v>
      </c>
      <c r="B18" s="55"/>
      <c r="C18" s="56">
        <f t="shared" ref="C18:O18" si="4">SUM(C2,C10)</f>
        <v>2640</v>
      </c>
      <c r="D18" s="56">
        <f t="shared" si="4"/>
        <v>2799</v>
      </c>
      <c r="E18" s="56">
        <f t="shared" si="4"/>
        <v>2609</v>
      </c>
      <c r="F18" s="56">
        <f t="shared" si="4"/>
        <v>3115</v>
      </c>
      <c r="G18" s="56">
        <f t="shared" si="4"/>
        <v>3121</v>
      </c>
      <c r="H18" s="56">
        <f t="shared" si="4"/>
        <v>3057</v>
      </c>
      <c r="I18" s="79">
        <f t="shared" si="4"/>
        <v>3227</v>
      </c>
      <c r="J18" s="56">
        <f t="shared" si="4"/>
        <v>3247</v>
      </c>
      <c r="K18" s="56">
        <f t="shared" si="4"/>
        <v>3040</v>
      </c>
      <c r="L18" s="56">
        <f>SUM(L2,L10)</f>
        <v>2942</v>
      </c>
      <c r="M18" s="56">
        <f t="shared" si="4"/>
        <v>3404</v>
      </c>
      <c r="N18" s="56">
        <f t="shared" si="4"/>
        <v>3072</v>
      </c>
      <c r="O18" s="56">
        <f t="shared" si="4"/>
        <v>36273</v>
      </c>
    </row>
    <row r="19" spans="1:15" s="49" customFormat="1" ht="15.6" customHeight="1" x14ac:dyDescent="0.2">
      <c r="A19" s="58"/>
      <c r="B19" s="58"/>
      <c r="C19" s="64"/>
      <c r="D19" s="69"/>
      <c r="E19" s="77"/>
      <c r="F19" s="69"/>
      <c r="G19" s="69"/>
      <c r="H19" s="77"/>
      <c r="I19" s="80"/>
      <c r="J19" s="78"/>
      <c r="K19" s="78"/>
    </row>
    <row r="20" spans="1:15" s="49" customFormat="1" ht="15.6" customHeight="1" x14ac:dyDescent="0.2">
      <c r="A20" s="55" t="s">
        <v>13</v>
      </c>
      <c r="B20" s="55"/>
      <c r="C20" s="56">
        <f>SUM(C21:C22)</f>
        <v>5300</v>
      </c>
      <c r="D20" s="56">
        <f t="shared" ref="D20:N20" si="5">SUM(D21:D22)</f>
        <v>5400</v>
      </c>
      <c r="E20" s="56">
        <f t="shared" si="5"/>
        <v>5600</v>
      </c>
      <c r="F20" s="56">
        <f t="shared" si="5"/>
        <v>5750</v>
      </c>
      <c r="G20" s="56">
        <f t="shared" si="5"/>
        <v>5750</v>
      </c>
      <c r="H20" s="56">
        <f t="shared" si="5"/>
        <v>5600</v>
      </c>
      <c r="I20" s="79">
        <f t="shared" si="5"/>
        <v>5800</v>
      </c>
      <c r="J20" s="56">
        <f t="shared" si="5"/>
        <v>5800</v>
      </c>
      <c r="K20" s="56">
        <f t="shared" si="5"/>
        <v>5700</v>
      </c>
      <c r="L20" s="56">
        <f t="shared" si="5"/>
        <v>5800</v>
      </c>
      <c r="M20" s="56">
        <f t="shared" si="5"/>
        <v>5850</v>
      </c>
      <c r="N20" s="56">
        <f t="shared" si="5"/>
        <v>5400</v>
      </c>
      <c r="O20" s="56">
        <f>SUM(C20:N20)</f>
        <v>67750</v>
      </c>
    </row>
    <row r="21" spans="1:15" s="49" customFormat="1" ht="15.6" customHeight="1" x14ac:dyDescent="0.2">
      <c r="A21" s="58" t="s">
        <v>15</v>
      </c>
      <c r="B21" s="58"/>
      <c r="C21" s="59">
        <f t="shared" ref="C21:N21" si="6">C30*50</f>
        <v>5300</v>
      </c>
      <c r="D21" s="59">
        <f t="shared" si="6"/>
        <v>5100</v>
      </c>
      <c r="E21" s="59">
        <f t="shared" si="6"/>
        <v>5600</v>
      </c>
      <c r="F21" s="59">
        <f t="shared" si="6"/>
        <v>5450</v>
      </c>
      <c r="G21" s="59">
        <f t="shared" si="6"/>
        <v>5750</v>
      </c>
      <c r="H21" s="59">
        <f t="shared" si="6"/>
        <v>5600</v>
      </c>
      <c r="I21" s="72">
        <f t="shared" si="6"/>
        <v>5500</v>
      </c>
      <c r="J21" s="81">
        <f t="shared" si="6"/>
        <v>5800</v>
      </c>
      <c r="K21" s="81">
        <f t="shared" si="6"/>
        <v>5400</v>
      </c>
      <c r="L21" s="81">
        <f t="shared" si="6"/>
        <v>5800</v>
      </c>
      <c r="M21" s="81">
        <f t="shared" si="6"/>
        <v>5550</v>
      </c>
      <c r="N21" s="81">
        <f t="shared" si="6"/>
        <v>5400</v>
      </c>
      <c r="O21" s="68">
        <f>SUM(C21:N21)</f>
        <v>66250</v>
      </c>
    </row>
    <row r="22" spans="1:15" s="49" customFormat="1" ht="15.6" customHeight="1" x14ac:dyDescent="0.2">
      <c r="A22" s="58" t="s">
        <v>11</v>
      </c>
      <c r="B22" s="58"/>
      <c r="C22" s="59">
        <v>0</v>
      </c>
      <c r="D22" s="68">
        <v>300</v>
      </c>
      <c r="E22" s="82">
        <v>0</v>
      </c>
      <c r="F22" s="68">
        <v>300</v>
      </c>
      <c r="G22" s="68">
        <v>0</v>
      </c>
      <c r="H22" s="82">
        <v>0</v>
      </c>
      <c r="I22" s="83">
        <v>300</v>
      </c>
      <c r="J22" s="81">
        <v>0</v>
      </c>
      <c r="K22" s="81">
        <v>300</v>
      </c>
      <c r="L22" s="81">
        <v>0</v>
      </c>
      <c r="M22" s="81">
        <v>300</v>
      </c>
      <c r="N22" s="81">
        <v>0</v>
      </c>
      <c r="O22" s="68">
        <f>SUM(C22:N22)</f>
        <v>1500</v>
      </c>
    </row>
    <row r="23" spans="1:15" s="49" customFormat="1" ht="15.6" customHeight="1" x14ac:dyDescent="0.2">
      <c r="A23" s="58"/>
      <c r="B23" s="58"/>
      <c r="C23" s="59"/>
      <c r="D23" s="68"/>
      <c r="E23" s="77"/>
      <c r="F23" s="68"/>
      <c r="G23" s="68"/>
      <c r="H23" s="77"/>
      <c r="I23" s="84"/>
      <c r="J23" s="85"/>
      <c r="K23" s="85"/>
      <c r="L23" s="85"/>
      <c r="M23" s="85"/>
      <c r="N23" s="85"/>
    </row>
    <row r="24" spans="1:15" s="49" customFormat="1" ht="15.6" customHeight="1" x14ac:dyDescent="0.2">
      <c r="A24" s="55" t="s">
        <v>14</v>
      </c>
      <c r="B24" s="55"/>
      <c r="C24" s="86">
        <f t="shared" ref="C24:O24" si="7">SUM(C3,C5,C11,C13)/C20</f>
        <v>0.47264150943396227</v>
      </c>
      <c r="D24" s="86">
        <f>SUM(D3,D5,D11,D13)/D20</f>
        <v>0.49814814814814817</v>
      </c>
      <c r="E24" s="86">
        <f t="shared" si="7"/>
        <v>0.46589285714285716</v>
      </c>
      <c r="F24" s="86">
        <f t="shared" si="7"/>
        <v>0.54173913043478261</v>
      </c>
      <c r="G24" s="86">
        <f t="shared" si="7"/>
        <v>0.5427826086956522</v>
      </c>
      <c r="H24" s="86">
        <f t="shared" si="7"/>
        <v>0.5278571428571428</v>
      </c>
      <c r="I24" s="86">
        <f t="shared" si="7"/>
        <v>0.54534482758620695</v>
      </c>
      <c r="J24" s="86">
        <f t="shared" si="7"/>
        <v>0.55982758620689654</v>
      </c>
      <c r="K24" s="86">
        <f t="shared" si="7"/>
        <v>0.53333333333333333</v>
      </c>
      <c r="L24" s="86">
        <f t="shared" si="7"/>
        <v>0.50724137931034485</v>
      </c>
      <c r="M24" s="86">
        <f t="shared" si="7"/>
        <v>0.58188034188034188</v>
      </c>
      <c r="N24" s="86">
        <f t="shared" si="7"/>
        <v>0.56888888888888889</v>
      </c>
      <c r="O24" s="86">
        <f t="shared" si="7"/>
        <v>0.5293579335793358</v>
      </c>
    </row>
    <row r="25" spans="1:15" s="49" customFormat="1" ht="15.6" customHeight="1" x14ac:dyDescent="0.2">
      <c r="A25" s="58" t="s">
        <v>15</v>
      </c>
      <c r="B25" s="58"/>
      <c r="C25" s="87">
        <f t="shared" ref="C25:O25" si="8">(SUM(C3,C11)/C21)</f>
        <v>0.47264150943396227</v>
      </c>
      <c r="D25" s="87">
        <f t="shared" si="8"/>
        <v>0.47098039215686277</v>
      </c>
      <c r="E25" s="87">
        <f t="shared" si="8"/>
        <v>0.46589285714285716</v>
      </c>
      <c r="F25" s="87">
        <f t="shared" si="8"/>
        <v>0.51889908256880735</v>
      </c>
      <c r="G25" s="87">
        <f t="shared" si="8"/>
        <v>0.5427826086956522</v>
      </c>
      <c r="H25" s="87">
        <f t="shared" si="8"/>
        <v>0.5278571428571428</v>
      </c>
      <c r="I25" s="87">
        <f t="shared" si="8"/>
        <v>0.52872727272727271</v>
      </c>
      <c r="J25" s="87">
        <f t="shared" si="8"/>
        <v>0.55982758620689654</v>
      </c>
      <c r="K25" s="87">
        <f t="shared" si="8"/>
        <v>0.51018518518518519</v>
      </c>
      <c r="L25" s="87">
        <f>(SUM(L3,L11)/L21)</f>
        <v>0.50724137931034485</v>
      </c>
      <c r="M25" s="87">
        <f t="shared" si="8"/>
        <v>0.55927927927927923</v>
      </c>
      <c r="N25" s="87">
        <f t="shared" si="8"/>
        <v>0.56888888888888889</v>
      </c>
      <c r="O25" s="77">
        <f t="shared" si="8"/>
        <v>0.51998490566037736</v>
      </c>
    </row>
    <row r="26" spans="1:15" s="49" customFormat="1" ht="15.6" customHeight="1" x14ac:dyDescent="0.2">
      <c r="A26" s="58" t="s">
        <v>11</v>
      </c>
      <c r="B26" s="58"/>
      <c r="C26" s="87" t="s">
        <v>33</v>
      </c>
      <c r="D26" s="87">
        <f>288/300</f>
        <v>0.96</v>
      </c>
      <c r="E26" s="87" t="s">
        <v>33</v>
      </c>
      <c r="F26" s="87" t="s">
        <v>33</v>
      </c>
      <c r="G26" s="87" t="s">
        <v>33</v>
      </c>
      <c r="H26" s="87" t="s">
        <v>33</v>
      </c>
      <c r="I26" s="87">
        <f>(SUM(I13,I5)/I22)</f>
        <v>0.85</v>
      </c>
      <c r="J26" s="87" t="s">
        <v>33</v>
      </c>
      <c r="K26" s="87" t="s">
        <v>33</v>
      </c>
      <c r="L26" s="26" t="s">
        <v>33</v>
      </c>
      <c r="M26" s="87" t="s">
        <v>33</v>
      </c>
      <c r="N26" s="26" t="s">
        <v>33</v>
      </c>
      <c r="O26" s="77">
        <f>(SUM(O13,O5)/O22)</f>
        <v>0.94333333333333336</v>
      </c>
    </row>
    <row r="27" spans="1:15" s="49" customFormat="1" ht="15.6" customHeight="1" x14ac:dyDescent="0.2">
      <c r="A27" s="58"/>
      <c r="B27" s="58"/>
      <c r="C27" s="59"/>
      <c r="D27" s="68"/>
      <c r="E27" s="77"/>
      <c r="F27" s="68"/>
      <c r="G27" s="68"/>
      <c r="H27" s="77"/>
      <c r="I27" s="84"/>
      <c r="J27" s="78"/>
      <c r="K27" s="78"/>
    </row>
    <row r="28" spans="1:15" x14ac:dyDescent="0.2">
      <c r="A28" s="55" t="s">
        <v>17</v>
      </c>
      <c r="B28" s="55"/>
      <c r="C28" s="89">
        <f>C30/C29</f>
        <v>0.92982456140350878</v>
      </c>
      <c r="D28" s="89">
        <f t="shared" ref="D28:O28" si="9">D30/D29</f>
        <v>0.98076923076923073</v>
      </c>
      <c r="E28" s="86">
        <f t="shared" si="9"/>
        <v>0.96551724137931039</v>
      </c>
      <c r="F28" s="86">
        <f t="shared" si="9"/>
        <v>0.99090909090909096</v>
      </c>
      <c r="G28" s="86">
        <f t="shared" si="9"/>
        <v>0.99137931034482762</v>
      </c>
      <c r="H28" s="86">
        <f t="shared" si="9"/>
        <v>1</v>
      </c>
      <c r="I28" s="86">
        <f t="shared" si="9"/>
        <v>0.9821428571428571</v>
      </c>
      <c r="J28" s="86">
        <f t="shared" si="9"/>
        <v>1</v>
      </c>
      <c r="K28" s="86">
        <f t="shared" si="9"/>
        <v>1</v>
      </c>
      <c r="L28" s="86">
        <f t="shared" si="9"/>
        <v>1</v>
      </c>
      <c r="M28" s="86">
        <f t="shared" si="9"/>
        <v>0.9910714285714286</v>
      </c>
      <c r="N28" s="86">
        <f t="shared" si="9"/>
        <v>1</v>
      </c>
      <c r="O28" s="86">
        <f t="shared" si="9"/>
        <v>0.98586309523809523</v>
      </c>
    </row>
    <row r="29" spans="1:15" x14ac:dyDescent="0.2">
      <c r="A29" s="58" t="s">
        <v>21</v>
      </c>
      <c r="C29" s="64">
        <v>114</v>
      </c>
      <c r="D29" s="64">
        <v>104</v>
      </c>
      <c r="E29" s="69">
        <v>116</v>
      </c>
      <c r="F29" s="69">
        <v>110</v>
      </c>
      <c r="G29" s="69">
        <v>116</v>
      </c>
      <c r="H29" s="69">
        <v>112</v>
      </c>
      <c r="I29" s="64">
        <v>112</v>
      </c>
      <c r="J29" s="69">
        <v>116</v>
      </c>
      <c r="K29" s="69">
        <v>108</v>
      </c>
      <c r="L29" s="69">
        <v>116</v>
      </c>
      <c r="M29" s="69">
        <v>112</v>
      </c>
      <c r="N29" s="69">
        <v>108</v>
      </c>
      <c r="O29" s="68">
        <f>SUM(C29:N29)</f>
        <v>1344</v>
      </c>
    </row>
    <row r="30" spans="1:15" x14ac:dyDescent="0.2">
      <c r="A30" s="58" t="s">
        <v>22</v>
      </c>
      <c r="C30" s="64">
        <v>106</v>
      </c>
      <c r="D30" s="64">
        <v>102</v>
      </c>
      <c r="E30" s="69">
        <v>112</v>
      </c>
      <c r="F30" s="69">
        <v>109</v>
      </c>
      <c r="G30" s="69">
        <v>115</v>
      </c>
      <c r="H30" s="69">
        <v>112</v>
      </c>
      <c r="I30" s="64">
        <v>110</v>
      </c>
      <c r="J30" s="69">
        <v>116</v>
      </c>
      <c r="K30" s="69">
        <v>108</v>
      </c>
      <c r="L30" s="69">
        <v>116</v>
      </c>
      <c r="M30" s="69">
        <v>111</v>
      </c>
      <c r="N30" s="69">
        <v>108</v>
      </c>
      <c r="O30" s="68">
        <f>SUM(C30:N30)</f>
        <v>1325</v>
      </c>
    </row>
    <row r="31" spans="1:15" x14ac:dyDescent="0.2">
      <c r="D31" s="64"/>
      <c r="E31" s="69"/>
      <c r="F31" s="69"/>
      <c r="G31" s="69"/>
      <c r="H31" s="69"/>
      <c r="I31" s="64"/>
      <c r="J31" s="69"/>
      <c r="K31" s="69"/>
      <c r="L31" s="69"/>
      <c r="M31" s="69"/>
      <c r="N31" s="69"/>
      <c r="O31" s="69"/>
    </row>
    <row r="32" spans="1:15" s="49" customFormat="1" ht="15.6" customHeight="1" x14ac:dyDescent="0.2">
      <c r="A32" s="55" t="s">
        <v>32</v>
      </c>
      <c r="B32" s="55"/>
      <c r="C32" s="56">
        <f>SUM(C33:C39)</f>
        <v>88949</v>
      </c>
      <c r="D32" s="56">
        <f t="shared" ref="D32:N32" si="10">SUM(D33:D39)</f>
        <v>89145</v>
      </c>
      <c r="E32" s="56">
        <f t="shared" si="10"/>
        <v>120745</v>
      </c>
      <c r="F32" s="56">
        <f t="shared" si="10"/>
        <v>103356</v>
      </c>
      <c r="G32" s="56">
        <f t="shared" si="10"/>
        <v>132342</v>
      </c>
      <c r="H32" s="56">
        <f t="shared" si="10"/>
        <v>114057</v>
      </c>
      <c r="I32" s="56">
        <f t="shared" si="10"/>
        <v>116423</v>
      </c>
      <c r="J32" s="56">
        <f t="shared" si="10"/>
        <v>129382</v>
      </c>
      <c r="K32" s="56">
        <f t="shared" si="10"/>
        <v>107262</v>
      </c>
      <c r="L32" s="56">
        <f>SUM(L33:L39)</f>
        <v>100571</v>
      </c>
      <c r="M32" s="56">
        <f t="shared" si="10"/>
        <v>97921</v>
      </c>
      <c r="N32" s="56">
        <f t="shared" si="10"/>
        <v>101068</v>
      </c>
      <c r="O32" s="57">
        <f t="shared" ref="O32:O39" si="11">SUM(C32:N32)</f>
        <v>1301221</v>
      </c>
    </row>
    <row r="33" spans="1:15" s="49" customFormat="1" ht="15.6" customHeight="1" x14ac:dyDescent="0.2">
      <c r="A33" s="58" t="s">
        <v>18</v>
      </c>
      <c r="B33" s="58"/>
      <c r="C33" s="69">
        <v>44585</v>
      </c>
      <c r="D33" s="64">
        <v>25726</v>
      </c>
      <c r="E33" s="90">
        <v>25080</v>
      </c>
      <c r="F33" s="69">
        <v>21133</v>
      </c>
      <c r="G33" s="69">
        <v>24186</v>
      </c>
      <c r="H33" s="90">
        <v>29164</v>
      </c>
      <c r="I33" s="64">
        <f>39019+13317</f>
        <v>52336</v>
      </c>
      <c r="J33" s="69">
        <v>48493</v>
      </c>
      <c r="K33" s="69">
        <v>53606</v>
      </c>
      <c r="L33" s="69">
        <v>55766</v>
      </c>
      <c r="M33" s="69">
        <v>50171</v>
      </c>
      <c r="N33" s="69">
        <v>40755</v>
      </c>
      <c r="O33" s="68">
        <f t="shared" si="11"/>
        <v>471001</v>
      </c>
    </row>
    <row r="34" spans="1:15" s="49" customFormat="1" ht="15.6" customHeight="1" x14ac:dyDescent="0.2">
      <c r="A34" s="58" t="s">
        <v>37</v>
      </c>
      <c r="B34" s="58"/>
      <c r="C34" s="69">
        <v>0</v>
      </c>
      <c r="D34" s="64">
        <v>11285</v>
      </c>
      <c r="E34" s="90">
        <v>29161</v>
      </c>
      <c r="F34" s="69">
        <v>29161</v>
      </c>
      <c r="G34" s="69">
        <v>44553</v>
      </c>
      <c r="H34" s="90">
        <v>27195</v>
      </c>
      <c r="I34" s="64">
        <v>9127</v>
      </c>
      <c r="J34" s="69">
        <v>15582</v>
      </c>
      <c r="K34" s="69">
        <v>7400</v>
      </c>
      <c r="L34" s="69">
        <v>0</v>
      </c>
      <c r="M34" s="69">
        <v>0</v>
      </c>
      <c r="N34" s="69">
        <v>3331</v>
      </c>
      <c r="O34" s="68">
        <f t="shared" si="11"/>
        <v>176795</v>
      </c>
    </row>
    <row r="35" spans="1:15" s="49" customFormat="1" ht="15.6" customHeight="1" x14ac:dyDescent="0.2">
      <c r="A35" s="58" t="s">
        <v>39</v>
      </c>
      <c r="B35" s="58"/>
      <c r="C35" s="69">
        <v>0</v>
      </c>
      <c r="D35" s="64">
        <v>6386</v>
      </c>
      <c r="E35" s="90">
        <v>8419</v>
      </c>
      <c r="F35" s="69">
        <v>2945</v>
      </c>
      <c r="G35" s="69">
        <f>340+6139</f>
        <v>6479</v>
      </c>
      <c r="H35" s="90">
        <v>8842</v>
      </c>
      <c r="I35" s="64">
        <v>4987</v>
      </c>
      <c r="J35" s="69">
        <v>10718</v>
      </c>
      <c r="K35" s="69">
        <v>0</v>
      </c>
      <c r="L35" s="69">
        <v>0</v>
      </c>
      <c r="M35" s="69">
        <v>2115</v>
      </c>
      <c r="N35" s="69">
        <v>4806</v>
      </c>
      <c r="O35" s="68">
        <f t="shared" si="11"/>
        <v>55697</v>
      </c>
    </row>
    <row r="36" spans="1:15" s="49" customFormat="1" ht="15.6" customHeight="1" x14ac:dyDescent="0.2">
      <c r="A36" s="58" t="s">
        <v>42</v>
      </c>
      <c r="B36" s="58"/>
      <c r="C36" s="69">
        <v>0</v>
      </c>
      <c r="D36" s="64">
        <v>0</v>
      </c>
      <c r="E36" s="90">
        <v>3736</v>
      </c>
      <c r="F36" s="69">
        <v>990</v>
      </c>
      <c r="G36" s="69">
        <v>4020</v>
      </c>
      <c r="H36" s="90">
        <v>0</v>
      </c>
      <c r="I36" s="64">
        <v>0</v>
      </c>
      <c r="J36" s="69">
        <v>0</v>
      </c>
      <c r="K36" s="69">
        <v>0</v>
      </c>
      <c r="L36" s="69">
        <v>0</v>
      </c>
      <c r="M36" s="69">
        <v>200</v>
      </c>
      <c r="N36" s="69">
        <v>0</v>
      </c>
      <c r="O36" s="68">
        <f t="shared" si="11"/>
        <v>8946</v>
      </c>
    </row>
    <row r="37" spans="1:15" s="49" customFormat="1" ht="13.9" customHeight="1" x14ac:dyDescent="0.2">
      <c r="A37" s="58" t="s">
        <v>19</v>
      </c>
      <c r="B37" s="58"/>
      <c r="C37" s="69">
        <v>44364</v>
      </c>
      <c r="D37" s="64">
        <v>45748</v>
      </c>
      <c r="E37" s="90">
        <v>54349</v>
      </c>
      <c r="F37" s="69">
        <v>49127</v>
      </c>
      <c r="G37" s="69">
        <f>36948+16156</f>
        <v>53104</v>
      </c>
      <c r="H37" s="90">
        <v>48856</v>
      </c>
      <c r="I37" s="64">
        <v>49383</v>
      </c>
      <c r="J37" s="69">
        <v>52189</v>
      </c>
      <c r="K37" s="69">
        <v>46256</v>
      </c>
      <c r="L37" s="69">
        <v>44805</v>
      </c>
      <c r="M37" s="69">
        <v>45435</v>
      </c>
      <c r="N37" s="69">
        <v>52176</v>
      </c>
      <c r="O37" s="68">
        <f t="shared" si="11"/>
        <v>585792</v>
      </c>
    </row>
    <row r="38" spans="1:15" s="49" customFormat="1" ht="13.9" customHeight="1" x14ac:dyDescent="0.2">
      <c r="A38" s="58" t="s">
        <v>20</v>
      </c>
      <c r="B38" s="58"/>
      <c r="C38" s="69">
        <v>0</v>
      </c>
      <c r="D38" s="64">
        <v>0</v>
      </c>
      <c r="E38" s="90">
        <v>0</v>
      </c>
      <c r="F38" s="69">
        <v>0</v>
      </c>
      <c r="G38" s="69">
        <v>0</v>
      </c>
      <c r="H38" s="90">
        <v>0</v>
      </c>
      <c r="I38" s="64">
        <v>590</v>
      </c>
      <c r="J38" s="69">
        <v>2400</v>
      </c>
      <c r="K38" s="69">
        <v>0</v>
      </c>
      <c r="L38" s="69">
        <v>0</v>
      </c>
      <c r="M38" s="69">
        <v>0</v>
      </c>
      <c r="N38" s="69">
        <v>0</v>
      </c>
      <c r="O38" s="68">
        <f t="shared" si="11"/>
        <v>2990</v>
      </c>
    </row>
    <row r="39" spans="1:15" s="49" customFormat="1" ht="13.9" customHeight="1" x14ac:dyDescent="0.2">
      <c r="A39" s="58" t="s">
        <v>7</v>
      </c>
      <c r="B39" s="58"/>
      <c r="C39" s="69">
        <v>0</v>
      </c>
      <c r="D39" s="64">
        <v>0</v>
      </c>
      <c r="E39" s="90">
        <v>0</v>
      </c>
      <c r="F39" s="69">
        <v>0</v>
      </c>
      <c r="G39" s="69">
        <v>0</v>
      </c>
      <c r="H39" s="90">
        <v>0</v>
      </c>
      <c r="I39" s="64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8">
        <f t="shared" si="11"/>
        <v>0</v>
      </c>
    </row>
    <row r="40" spans="1:15" s="49" customFormat="1" ht="12.75" x14ac:dyDescent="0.2">
      <c r="A40" s="58"/>
      <c r="B40" s="58"/>
      <c r="C40" s="59"/>
      <c r="D40" s="68"/>
      <c r="E40" s="90"/>
      <c r="F40" s="68"/>
      <c r="G40" s="68"/>
      <c r="H40" s="67"/>
      <c r="I40" s="67"/>
      <c r="J40" s="67"/>
      <c r="K40" s="67"/>
      <c r="L40" s="67"/>
      <c r="M40" s="67"/>
      <c r="N40" s="67"/>
      <c r="O40" s="67"/>
    </row>
    <row r="41" spans="1:15" s="49" customFormat="1" ht="13.9" customHeight="1" x14ac:dyDescent="0.2">
      <c r="A41" s="55" t="s">
        <v>8</v>
      </c>
      <c r="B41" s="55"/>
      <c r="C41" s="56">
        <f t="shared" ref="C41:N41" si="12">SUM(C42:C52)</f>
        <v>3443812</v>
      </c>
      <c r="D41" s="56">
        <f t="shared" si="12"/>
        <v>3429368</v>
      </c>
      <c r="E41" s="56">
        <f>SUM(E42:E52)</f>
        <v>3286255</v>
      </c>
      <c r="F41" s="56">
        <f t="shared" si="12"/>
        <v>3385500</v>
      </c>
      <c r="G41" s="56">
        <f t="shared" si="12"/>
        <v>3318000</v>
      </c>
      <c r="H41" s="56">
        <f t="shared" si="12"/>
        <v>3475392</v>
      </c>
      <c r="I41" s="56">
        <f t="shared" si="12"/>
        <v>3642831</v>
      </c>
      <c r="J41" s="56">
        <f t="shared" si="12"/>
        <v>3491147</v>
      </c>
      <c r="K41" s="56">
        <f t="shared" si="12"/>
        <v>3447135</v>
      </c>
      <c r="L41" s="56">
        <f t="shared" si="12"/>
        <v>3408815</v>
      </c>
      <c r="M41" s="56">
        <f t="shared" si="12"/>
        <v>3654904</v>
      </c>
      <c r="N41" s="56">
        <f t="shared" si="12"/>
        <v>3261336</v>
      </c>
      <c r="O41" s="56">
        <f t="shared" ref="O41:O52" si="13">SUM(C41:N41)</f>
        <v>41244495</v>
      </c>
    </row>
    <row r="42" spans="1:15" s="49" customFormat="1" ht="13.9" customHeight="1" x14ac:dyDescent="0.2">
      <c r="A42" s="58" t="s">
        <v>23</v>
      </c>
      <c r="B42" s="58"/>
      <c r="C42" s="64">
        <v>2491000</v>
      </c>
      <c r="D42" s="69">
        <v>2444000</v>
      </c>
      <c r="E42" s="90">
        <v>2679000</v>
      </c>
      <c r="F42" s="69">
        <v>2585000</v>
      </c>
      <c r="G42" s="69">
        <v>2726000</v>
      </c>
      <c r="H42" s="90">
        <v>2632000</v>
      </c>
      <c r="I42" s="90">
        <v>2585000</v>
      </c>
      <c r="J42" s="90">
        <v>2726000</v>
      </c>
      <c r="K42" s="90">
        <v>2538000</v>
      </c>
      <c r="L42" s="90">
        <v>2726000</v>
      </c>
      <c r="M42" s="90">
        <v>2632000</v>
      </c>
      <c r="N42" s="90">
        <v>2538000</v>
      </c>
      <c r="O42" s="67">
        <f t="shared" si="13"/>
        <v>31302000</v>
      </c>
    </row>
    <row r="43" spans="1:15" s="49" customFormat="1" ht="13.9" customHeight="1" x14ac:dyDescent="0.2">
      <c r="A43" s="58" t="s">
        <v>36</v>
      </c>
      <c r="B43" s="58"/>
      <c r="C43" s="64">
        <v>0</v>
      </c>
      <c r="D43" s="69">
        <v>121000</v>
      </c>
      <c r="E43" s="90">
        <v>0</v>
      </c>
      <c r="F43" s="69">
        <v>242000</v>
      </c>
      <c r="G43" s="69">
        <v>0</v>
      </c>
      <c r="H43" s="90">
        <v>0</v>
      </c>
      <c r="I43" s="90">
        <v>242000</v>
      </c>
      <c r="J43" s="90">
        <v>0</v>
      </c>
      <c r="K43" s="90">
        <v>242000</v>
      </c>
      <c r="L43" s="90">
        <v>0</v>
      </c>
      <c r="M43" s="90">
        <v>242000</v>
      </c>
      <c r="N43" s="90">
        <v>0</v>
      </c>
      <c r="O43" s="67">
        <f t="shared" si="13"/>
        <v>1089000</v>
      </c>
    </row>
    <row r="44" spans="1:15" s="49" customFormat="1" ht="13.9" customHeight="1" x14ac:dyDescent="0.2">
      <c r="A44" s="58" t="s">
        <v>24</v>
      </c>
      <c r="B44" s="58"/>
      <c r="C44" s="64">
        <v>0</v>
      </c>
      <c r="D44" s="69">
        <v>124000</v>
      </c>
      <c r="E44" s="90">
        <v>0</v>
      </c>
      <c r="F44" s="69">
        <v>0</v>
      </c>
      <c r="G44" s="69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67">
        <f t="shared" si="13"/>
        <v>124000</v>
      </c>
    </row>
    <row r="45" spans="1:15" s="49" customFormat="1" ht="13.9" customHeight="1" x14ac:dyDescent="0.2">
      <c r="A45" s="58" t="s">
        <v>25</v>
      </c>
      <c r="B45" s="58"/>
      <c r="C45" s="64">
        <v>212500</v>
      </c>
      <c r="D45" s="69">
        <v>204000</v>
      </c>
      <c r="E45" s="90">
        <v>229500</v>
      </c>
      <c r="F45" s="69">
        <v>221000</v>
      </c>
      <c r="G45" s="69">
        <v>229500</v>
      </c>
      <c r="H45" s="90">
        <v>221000</v>
      </c>
      <c r="I45" s="90">
        <v>212500</v>
      </c>
      <c r="J45" s="90">
        <v>238000</v>
      </c>
      <c r="K45" s="90">
        <v>221000</v>
      </c>
      <c r="L45" s="90">
        <v>221000</v>
      </c>
      <c r="M45" s="90">
        <v>221000</v>
      </c>
      <c r="N45" s="90">
        <v>221000</v>
      </c>
      <c r="O45" s="67">
        <f t="shared" si="13"/>
        <v>2652000</v>
      </c>
    </row>
    <row r="46" spans="1:15" s="49" customFormat="1" ht="13.9" customHeight="1" x14ac:dyDescent="0.2">
      <c r="A46" s="58" t="s">
        <v>26</v>
      </c>
      <c r="B46" s="58"/>
      <c r="C46" s="64">
        <v>327900</v>
      </c>
      <c r="D46" s="69">
        <v>178100</v>
      </c>
      <c r="E46" s="90">
        <v>139300</v>
      </c>
      <c r="F46" s="69">
        <v>118400</v>
      </c>
      <c r="G46" s="69">
        <v>135400</v>
      </c>
      <c r="H46" s="90">
        <v>156000</v>
      </c>
      <c r="I46" s="90">
        <v>279900</v>
      </c>
      <c r="J46" s="90">
        <v>242100</v>
      </c>
      <c r="K46" s="90">
        <v>268800</v>
      </c>
      <c r="L46" s="90">
        <v>313000</v>
      </c>
      <c r="M46" s="90">
        <v>303900</v>
      </c>
      <c r="N46" s="90">
        <v>288500</v>
      </c>
      <c r="O46" s="67">
        <f t="shared" si="13"/>
        <v>2751300</v>
      </c>
    </row>
    <row r="47" spans="1:15" s="49" customFormat="1" ht="13.9" customHeight="1" x14ac:dyDescent="0.2">
      <c r="A47" s="58" t="s">
        <v>40</v>
      </c>
      <c r="B47" s="58"/>
      <c r="C47" s="64">
        <v>0</v>
      </c>
      <c r="D47" s="69">
        <v>104000</v>
      </c>
      <c r="E47" s="90">
        <v>182000</v>
      </c>
      <c r="F47" s="69">
        <v>201200</v>
      </c>
      <c r="G47" s="69">
        <v>162200</v>
      </c>
      <c r="H47" s="90">
        <v>169000</v>
      </c>
      <c r="I47" s="90">
        <v>52000</v>
      </c>
      <c r="J47" s="90">
        <v>91000</v>
      </c>
      <c r="K47" s="90">
        <v>65000</v>
      </c>
      <c r="L47" s="90">
        <v>0</v>
      </c>
      <c r="M47" s="90">
        <v>0</v>
      </c>
      <c r="N47" s="90">
        <v>39000</v>
      </c>
      <c r="O47" s="67">
        <f t="shared" si="13"/>
        <v>1065400</v>
      </c>
    </row>
    <row r="48" spans="1:15" s="49" customFormat="1" ht="13.9" customHeight="1" x14ac:dyDescent="0.2">
      <c r="A48" s="58" t="s">
        <v>38</v>
      </c>
      <c r="B48" s="58"/>
      <c r="C48" s="64">
        <v>0</v>
      </c>
      <c r="D48" s="69">
        <v>32200</v>
      </c>
      <c r="E48" s="90">
        <v>32200</v>
      </c>
      <c r="F48" s="69">
        <v>10900</v>
      </c>
      <c r="G48" s="69">
        <v>43100</v>
      </c>
      <c r="H48" s="90">
        <v>43600</v>
      </c>
      <c r="I48" s="90">
        <v>32200</v>
      </c>
      <c r="J48" s="90">
        <v>21800</v>
      </c>
      <c r="K48" s="90">
        <v>0</v>
      </c>
      <c r="L48" s="90">
        <v>0</v>
      </c>
      <c r="M48" s="90">
        <v>10900</v>
      </c>
      <c r="N48" s="90">
        <v>16100</v>
      </c>
      <c r="O48" s="67">
        <f t="shared" si="13"/>
        <v>243000</v>
      </c>
    </row>
    <row r="49" spans="1:15" s="49" customFormat="1" ht="13.9" customHeight="1" x14ac:dyDescent="0.2">
      <c r="A49" s="58" t="s">
        <v>43</v>
      </c>
      <c r="B49" s="58"/>
      <c r="C49" s="64">
        <v>0</v>
      </c>
      <c r="D49" s="69">
        <v>0</v>
      </c>
      <c r="E49" s="90">
        <v>24255</v>
      </c>
      <c r="F49" s="69">
        <v>7000</v>
      </c>
      <c r="G49" s="69">
        <v>21800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7000</v>
      </c>
      <c r="N49" s="90">
        <v>0</v>
      </c>
      <c r="O49" s="67">
        <f t="shared" si="13"/>
        <v>60055</v>
      </c>
    </row>
    <row r="50" spans="1:15" s="49" customFormat="1" ht="13.9" customHeight="1" x14ac:dyDescent="0.2">
      <c r="A50" s="58" t="s">
        <v>27</v>
      </c>
      <c r="B50" s="58"/>
      <c r="C50" s="64">
        <v>412412</v>
      </c>
      <c r="D50" s="69">
        <v>222068</v>
      </c>
      <c r="E50" s="90">
        <v>0</v>
      </c>
      <c r="F50" s="69">
        <v>0</v>
      </c>
      <c r="G50" s="69">
        <v>0</v>
      </c>
      <c r="H50" s="90">
        <f>8*31724</f>
        <v>253792</v>
      </c>
      <c r="I50" s="90">
        <v>126896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67">
        <f t="shared" si="13"/>
        <v>1015168</v>
      </c>
    </row>
    <row r="51" spans="1:15" s="49" customFormat="1" ht="13.9" customHeight="1" x14ac:dyDescent="0.2">
      <c r="A51" s="58" t="s">
        <v>44</v>
      </c>
      <c r="B51" s="58"/>
      <c r="C51" s="64">
        <v>0</v>
      </c>
      <c r="D51" s="69">
        <v>0</v>
      </c>
      <c r="E51" s="90">
        <v>0</v>
      </c>
      <c r="F51" s="69">
        <v>0</v>
      </c>
      <c r="G51" s="69">
        <v>0</v>
      </c>
      <c r="H51" s="90">
        <v>0</v>
      </c>
      <c r="I51" s="90">
        <v>112335</v>
      </c>
      <c r="J51" s="90">
        <v>172247</v>
      </c>
      <c r="K51" s="90">
        <v>112335</v>
      </c>
      <c r="L51" s="90">
        <v>148815</v>
      </c>
      <c r="M51" s="90">
        <v>238104</v>
      </c>
      <c r="N51" s="90">
        <v>158736</v>
      </c>
      <c r="O51" s="67">
        <f>SUM(C51:N51)</f>
        <v>942572</v>
      </c>
    </row>
    <row r="52" spans="1:15" s="49" customFormat="1" ht="13.9" customHeight="1" x14ac:dyDescent="0.2">
      <c r="A52" s="58" t="s">
        <v>28</v>
      </c>
      <c r="B52" s="58"/>
      <c r="C52" s="64">
        <v>0</v>
      </c>
      <c r="D52" s="69">
        <v>0</v>
      </c>
      <c r="E52" s="90">
        <v>0</v>
      </c>
      <c r="F52" s="69">
        <v>0</v>
      </c>
      <c r="G52" s="69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67">
        <f t="shared" si="13"/>
        <v>0</v>
      </c>
    </row>
    <row r="53" spans="1:15" s="49" customFormat="1" ht="15" customHeight="1" x14ac:dyDescent="0.2">
      <c r="A53" s="63"/>
      <c r="B53" s="63"/>
      <c r="C53" s="59"/>
      <c r="D53" s="59"/>
      <c r="E53" s="90"/>
      <c r="F53" s="69"/>
      <c r="G53" s="68"/>
      <c r="H53" s="67"/>
      <c r="I53" s="67"/>
      <c r="J53" s="67"/>
      <c r="K53" s="90"/>
      <c r="L53" s="67"/>
      <c r="M53" s="67"/>
      <c r="N53" s="67"/>
      <c r="O53" s="67"/>
    </row>
    <row r="54" spans="1:15" x14ac:dyDescent="0.2">
      <c r="A54" s="55" t="s">
        <v>35</v>
      </c>
      <c r="B54" s="88"/>
      <c r="C54" s="56">
        <f>SUM(C55:C65)</f>
        <v>229</v>
      </c>
      <c r="D54" s="56">
        <f>SUM(D55:D65)</f>
        <v>215</v>
      </c>
      <c r="E54" s="56">
        <f>SUM(E55:E65)</f>
        <v>226</v>
      </c>
      <c r="F54" s="56">
        <f t="shared" ref="F54:O54" si="14">SUM(F55:F65)</f>
        <v>221</v>
      </c>
      <c r="G54" s="56">
        <f t="shared" si="14"/>
        <v>229</v>
      </c>
      <c r="H54" s="56">
        <f t="shared" si="14"/>
        <v>240</v>
      </c>
      <c r="I54" s="56">
        <f t="shared" si="14"/>
        <v>255</v>
      </c>
      <c r="J54" s="56">
        <f t="shared" si="14"/>
        <v>273</v>
      </c>
      <c r="K54" s="56">
        <f t="shared" si="14"/>
        <v>244</v>
      </c>
      <c r="L54" s="56">
        <f t="shared" si="14"/>
        <v>249</v>
      </c>
      <c r="M54" s="56">
        <f t="shared" si="14"/>
        <v>268</v>
      </c>
      <c r="N54" s="56">
        <f t="shared" si="14"/>
        <v>245</v>
      </c>
      <c r="O54" s="56">
        <f t="shared" si="14"/>
        <v>2894</v>
      </c>
    </row>
    <row r="55" spans="1:15" x14ac:dyDescent="0.2">
      <c r="A55" s="58" t="s">
        <v>23</v>
      </c>
      <c r="C55" s="64">
        <v>106</v>
      </c>
      <c r="D55" s="64">
        <v>102</v>
      </c>
      <c r="E55" s="64">
        <v>112</v>
      </c>
      <c r="F55" s="64">
        <v>109</v>
      </c>
      <c r="G55" s="64">
        <v>115</v>
      </c>
      <c r="H55" s="64">
        <v>112</v>
      </c>
      <c r="I55" s="64">
        <v>110</v>
      </c>
      <c r="J55" s="64">
        <v>116</v>
      </c>
      <c r="K55" s="64">
        <v>108</v>
      </c>
      <c r="L55" s="64">
        <v>116</v>
      </c>
      <c r="M55" s="64">
        <v>112</v>
      </c>
      <c r="N55" s="64">
        <v>108</v>
      </c>
      <c r="O55" s="91">
        <f t="shared" ref="O55:O65" si="15">SUM(C55:N55)</f>
        <v>1326</v>
      </c>
    </row>
    <row r="56" spans="1:15" x14ac:dyDescent="0.2">
      <c r="A56" s="58" t="s">
        <v>36</v>
      </c>
      <c r="C56" s="92">
        <v>0</v>
      </c>
      <c r="D56" s="92">
        <v>2</v>
      </c>
      <c r="E56" s="93">
        <v>0</v>
      </c>
      <c r="F56" s="93">
        <v>4</v>
      </c>
      <c r="G56" s="93">
        <v>0</v>
      </c>
      <c r="H56" s="93">
        <v>0</v>
      </c>
      <c r="I56" s="92">
        <v>4</v>
      </c>
      <c r="J56" s="93">
        <v>0</v>
      </c>
      <c r="K56" s="93">
        <v>4</v>
      </c>
      <c r="L56" s="93">
        <v>0</v>
      </c>
      <c r="M56" s="93">
        <v>4</v>
      </c>
      <c r="N56" s="93">
        <v>0</v>
      </c>
      <c r="O56" s="91">
        <f t="shared" si="15"/>
        <v>18</v>
      </c>
    </row>
    <row r="57" spans="1:15" x14ac:dyDescent="0.2">
      <c r="A57" s="58" t="s">
        <v>24</v>
      </c>
      <c r="C57" s="92">
        <v>0</v>
      </c>
      <c r="D57" s="92">
        <v>2</v>
      </c>
      <c r="E57" s="93">
        <v>0</v>
      </c>
      <c r="F57" s="93">
        <v>0</v>
      </c>
      <c r="G57" s="93">
        <v>0</v>
      </c>
      <c r="H57" s="93">
        <v>0</v>
      </c>
      <c r="I57" s="92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1">
        <f t="shared" si="15"/>
        <v>2</v>
      </c>
    </row>
    <row r="58" spans="1:15" x14ac:dyDescent="0.2">
      <c r="A58" s="58" t="s">
        <v>25</v>
      </c>
      <c r="C58" s="92">
        <v>50</v>
      </c>
      <c r="D58" s="92">
        <v>48</v>
      </c>
      <c r="E58" s="93">
        <v>54</v>
      </c>
      <c r="F58" s="93">
        <v>52</v>
      </c>
      <c r="G58" s="93">
        <v>54</v>
      </c>
      <c r="H58" s="93">
        <v>52</v>
      </c>
      <c r="I58" s="92">
        <v>50</v>
      </c>
      <c r="J58" s="93">
        <v>56</v>
      </c>
      <c r="K58" s="93">
        <v>52</v>
      </c>
      <c r="L58" s="93">
        <v>52</v>
      </c>
      <c r="M58" s="93">
        <v>52</v>
      </c>
      <c r="N58" s="93">
        <v>52</v>
      </c>
      <c r="O58" s="91">
        <f t="shared" si="15"/>
        <v>624</v>
      </c>
    </row>
    <row r="59" spans="1:15" x14ac:dyDescent="0.2">
      <c r="A59" s="58" t="s">
        <v>26</v>
      </c>
      <c r="C59" s="92">
        <v>47</v>
      </c>
      <c r="D59" s="92">
        <v>27</v>
      </c>
      <c r="E59" s="93">
        <v>22</v>
      </c>
      <c r="F59" s="93">
        <v>20</v>
      </c>
      <c r="G59" s="93">
        <v>22</v>
      </c>
      <c r="H59" s="93">
        <v>26</v>
      </c>
      <c r="I59" s="92">
        <v>41</v>
      </c>
      <c r="J59" s="93">
        <v>37</v>
      </c>
      <c r="K59" s="93">
        <v>42</v>
      </c>
      <c r="L59" s="93">
        <v>51</v>
      </c>
      <c r="M59" s="93">
        <v>48</v>
      </c>
      <c r="N59" s="93">
        <v>45</v>
      </c>
      <c r="O59" s="91">
        <f t="shared" si="15"/>
        <v>428</v>
      </c>
    </row>
    <row r="60" spans="1:15" x14ac:dyDescent="0.2">
      <c r="A60" s="58" t="s">
        <v>40</v>
      </c>
      <c r="C60" s="92">
        <v>0</v>
      </c>
      <c r="D60" s="92">
        <v>16</v>
      </c>
      <c r="E60" s="93">
        <v>28</v>
      </c>
      <c r="F60" s="93">
        <v>32</v>
      </c>
      <c r="G60" s="93">
        <v>26</v>
      </c>
      <c r="H60" s="93">
        <v>26</v>
      </c>
      <c r="I60" s="92">
        <v>8</v>
      </c>
      <c r="J60" s="93">
        <v>14</v>
      </c>
      <c r="K60" s="93">
        <v>10</v>
      </c>
      <c r="L60" s="93">
        <v>0</v>
      </c>
      <c r="M60" s="93">
        <v>0</v>
      </c>
      <c r="N60" s="93">
        <v>6</v>
      </c>
      <c r="O60" s="91">
        <f t="shared" si="15"/>
        <v>166</v>
      </c>
    </row>
    <row r="61" spans="1:15" x14ac:dyDescent="0.2">
      <c r="A61" s="58" t="s">
        <v>38</v>
      </c>
      <c r="C61" s="92">
        <v>0</v>
      </c>
      <c r="D61" s="92">
        <v>4</v>
      </c>
      <c r="E61" s="93">
        <v>4</v>
      </c>
      <c r="F61" s="93">
        <v>2</v>
      </c>
      <c r="G61" s="93">
        <v>6</v>
      </c>
      <c r="H61" s="93">
        <v>8</v>
      </c>
      <c r="I61" s="92">
        <v>4</v>
      </c>
      <c r="J61" s="93">
        <v>4</v>
      </c>
      <c r="K61" s="93">
        <v>0</v>
      </c>
      <c r="L61" s="93">
        <v>0</v>
      </c>
      <c r="M61" s="93">
        <v>2</v>
      </c>
      <c r="N61" s="93">
        <v>2</v>
      </c>
      <c r="O61" s="91">
        <f t="shared" si="15"/>
        <v>36</v>
      </c>
    </row>
    <row r="62" spans="1:15" x14ac:dyDescent="0.2">
      <c r="A62" s="58" t="s">
        <v>43</v>
      </c>
      <c r="C62" s="92">
        <v>0</v>
      </c>
      <c r="D62" s="92">
        <v>0</v>
      </c>
      <c r="E62" s="93">
        <v>6</v>
      </c>
      <c r="F62" s="93">
        <v>2</v>
      </c>
      <c r="G62" s="93">
        <v>6</v>
      </c>
      <c r="H62" s="93">
        <v>0</v>
      </c>
      <c r="I62" s="92">
        <v>0</v>
      </c>
      <c r="J62" s="93">
        <v>0</v>
      </c>
      <c r="K62" s="93">
        <v>0</v>
      </c>
      <c r="L62" s="93">
        <v>0</v>
      </c>
      <c r="M62" s="93">
        <v>2</v>
      </c>
      <c r="N62" s="93">
        <v>0</v>
      </c>
      <c r="O62" s="91">
        <f t="shared" si="15"/>
        <v>16</v>
      </c>
    </row>
    <row r="63" spans="1:15" x14ac:dyDescent="0.2">
      <c r="A63" s="58" t="s">
        <v>44</v>
      </c>
      <c r="C63" s="92">
        <v>0</v>
      </c>
      <c r="D63" s="92">
        <v>0</v>
      </c>
      <c r="E63" s="93">
        <v>0</v>
      </c>
      <c r="F63" s="93">
        <v>0</v>
      </c>
      <c r="G63" s="93">
        <v>0</v>
      </c>
      <c r="H63" s="93">
        <v>0</v>
      </c>
      <c r="I63" s="92">
        <v>30</v>
      </c>
      <c r="J63" s="93">
        <v>46</v>
      </c>
      <c r="K63" s="93">
        <v>28</v>
      </c>
      <c r="L63" s="93">
        <v>30</v>
      </c>
      <c r="M63" s="93">
        <v>48</v>
      </c>
      <c r="N63" s="93">
        <v>32</v>
      </c>
      <c r="O63" s="91">
        <f t="shared" si="15"/>
        <v>214</v>
      </c>
    </row>
    <row r="64" spans="1:15" x14ac:dyDescent="0.2">
      <c r="A64" s="58" t="s">
        <v>27</v>
      </c>
      <c r="C64" s="92">
        <v>26</v>
      </c>
      <c r="D64" s="92">
        <v>14</v>
      </c>
      <c r="E64" s="93">
        <v>0</v>
      </c>
      <c r="F64" s="93">
        <v>0</v>
      </c>
      <c r="G64" s="93">
        <v>0</v>
      </c>
      <c r="H64" s="93">
        <v>16</v>
      </c>
      <c r="I64" s="92">
        <v>8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1">
        <f t="shared" si="15"/>
        <v>64</v>
      </c>
    </row>
    <row r="65" spans="1:15" x14ac:dyDescent="0.2">
      <c r="A65" s="58" t="s">
        <v>28</v>
      </c>
      <c r="C65" s="92">
        <v>0</v>
      </c>
      <c r="D65" s="92">
        <v>0</v>
      </c>
      <c r="E65" s="93">
        <v>0</v>
      </c>
      <c r="F65" s="93">
        <v>0</v>
      </c>
      <c r="G65" s="93">
        <v>0</v>
      </c>
      <c r="H65" s="93">
        <v>0</v>
      </c>
      <c r="I65" s="92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1">
        <f t="shared" si="15"/>
        <v>0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68"/>
  <sheetViews>
    <sheetView workbookViewId="0">
      <selection activeCell="G21" sqref="G21"/>
    </sheetView>
  </sheetViews>
  <sheetFormatPr defaultColWidth="10" defaultRowHeight="14.25" x14ac:dyDescent="0.2"/>
  <cols>
    <col min="1" max="1" width="3.140625" style="49" customWidth="1"/>
    <col min="2" max="2" width="28.5703125" style="49" customWidth="1"/>
    <col min="3" max="3" width="12" style="64" customWidth="1"/>
    <col min="4" max="4" width="12" style="85" customWidth="1"/>
    <col min="5" max="8" width="12" style="49" customWidth="1"/>
    <col min="9" max="9" width="12" style="84" customWidth="1"/>
    <col min="10" max="14" width="12" style="49" customWidth="1"/>
    <col min="15" max="15" width="16.42578125" style="49" customWidth="1"/>
    <col min="16" max="16384" width="10" style="54"/>
  </cols>
  <sheetData>
    <row r="1" spans="1:15" ht="20.25" customHeight="1" x14ac:dyDescent="0.2">
      <c r="B1" s="105"/>
      <c r="C1" s="50">
        <v>43101</v>
      </c>
      <c r="D1" s="50">
        <v>43132</v>
      </c>
      <c r="E1" s="50">
        <v>43160</v>
      </c>
      <c r="F1" s="50">
        <v>43191</v>
      </c>
      <c r="G1" s="50">
        <v>43221</v>
      </c>
      <c r="H1" s="50">
        <v>43252</v>
      </c>
      <c r="I1" s="50">
        <v>43282</v>
      </c>
      <c r="J1" s="50">
        <v>43313</v>
      </c>
      <c r="K1" s="50">
        <v>43344</v>
      </c>
      <c r="L1" s="50">
        <v>43374</v>
      </c>
      <c r="M1" s="50">
        <v>43405</v>
      </c>
      <c r="N1" s="50">
        <v>43435</v>
      </c>
      <c r="O1" s="53" t="s">
        <v>16</v>
      </c>
    </row>
    <row r="2" spans="1:15" s="49" customFormat="1" ht="12.75" x14ac:dyDescent="0.2">
      <c r="A2" s="55" t="s">
        <v>4</v>
      </c>
      <c r="B2" s="55"/>
      <c r="C2" s="56">
        <f>SUM(C3,C5,C8)</f>
        <v>1637</v>
      </c>
      <c r="D2" s="56">
        <f t="shared" ref="D2:N2" si="0">SUM(D3,D5,D8)</f>
        <v>1357</v>
      </c>
      <c r="E2" s="56">
        <f t="shared" si="0"/>
        <v>1690</v>
      </c>
      <c r="F2" s="56">
        <f t="shared" si="0"/>
        <v>1669</v>
      </c>
      <c r="G2" s="56">
        <f t="shared" si="0"/>
        <v>2182</v>
      </c>
      <c r="H2" s="56">
        <f t="shared" si="0"/>
        <v>2192</v>
      </c>
      <c r="I2" s="56">
        <f t="shared" si="0"/>
        <v>2246</v>
      </c>
      <c r="J2" s="56">
        <f t="shared" si="0"/>
        <v>2267</v>
      </c>
      <c r="K2" s="56">
        <f t="shared" si="0"/>
        <v>2003</v>
      </c>
      <c r="L2" s="56">
        <f t="shared" si="0"/>
        <v>2295</v>
      </c>
      <c r="M2" s="56">
        <f t="shared" si="0"/>
        <v>2231</v>
      </c>
      <c r="N2" s="56">
        <f t="shared" si="0"/>
        <v>2359</v>
      </c>
      <c r="O2" s="57">
        <f>SUM(C2:N2)</f>
        <v>24128</v>
      </c>
    </row>
    <row r="3" spans="1:15" s="49" customFormat="1" ht="12.75" x14ac:dyDescent="0.2">
      <c r="A3" s="58" t="s">
        <v>5</v>
      </c>
      <c r="B3" s="58"/>
      <c r="C3" s="59">
        <v>1429</v>
      </c>
      <c r="D3" s="59">
        <f>SUM(D4)</f>
        <v>1272</v>
      </c>
      <c r="E3" s="60">
        <v>1525</v>
      </c>
      <c r="F3" s="61">
        <v>1581</v>
      </c>
      <c r="G3" s="61">
        <v>2012</v>
      </c>
      <c r="H3" s="61">
        <v>2014</v>
      </c>
      <c r="I3" s="61">
        <v>2136</v>
      </c>
      <c r="J3" s="60">
        <v>2094</v>
      </c>
      <c r="K3" s="61">
        <v>1915</v>
      </c>
      <c r="L3" s="61">
        <v>2033</v>
      </c>
      <c r="M3" s="61">
        <v>2164</v>
      </c>
      <c r="N3" s="61">
        <v>2268</v>
      </c>
      <c r="O3" s="60">
        <f t="shared" ref="O3:O8" si="1">SUM(C3:N3)</f>
        <v>22443</v>
      </c>
    </row>
    <row r="4" spans="1:15" s="49" customFormat="1" ht="12.75" x14ac:dyDescent="0.2">
      <c r="B4" s="62" t="s">
        <v>10</v>
      </c>
      <c r="C4" s="64">
        <v>1429</v>
      </c>
      <c r="D4" s="64">
        <v>1272</v>
      </c>
      <c r="E4" s="65">
        <v>1525</v>
      </c>
      <c r="F4" s="66">
        <v>1581</v>
      </c>
      <c r="G4" s="66">
        <v>2012</v>
      </c>
      <c r="H4" s="66">
        <v>2014</v>
      </c>
      <c r="I4" s="66">
        <v>2136</v>
      </c>
      <c r="J4" s="65">
        <v>2094</v>
      </c>
      <c r="K4" s="66">
        <v>1915</v>
      </c>
      <c r="L4" s="66">
        <v>2033</v>
      </c>
      <c r="M4" s="66">
        <v>2164</v>
      </c>
      <c r="N4" s="66">
        <v>2268</v>
      </c>
      <c r="O4" s="60">
        <f t="shared" si="1"/>
        <v>22443</v>
      </c>
    </row>
    <row r="5" spans="1:15" s="49" customFormat="1" ht="12.75" x14ac:dyDescent="0.2">
      <c r="A5" s="58" t="s">
        <v>11</v>
      </c>
      <c r="B5" s="62"/>
      <c r="C5" s="59">
        <v>132</v>
      </c>
      <c r="D5" s="59">
        <v>64</v>
      </c>
      <c r="E5" s="60">
        <v>114</v>
      </c>
      <c r="F5" s="61">
        <v>0</v>
      </c>
      <c r="G5" s="61">
        <v>82</v>
      </c>
      <c r="H5" s="60">
        <v>90</v>
      </c>
      <c r="I5" s="60">
        <v>0</v>
      </c>
      <c r="J5" s="60">
        <v>99</v>
      </c>
      <c r="K5" s="61">
        <v>0</v>
      </c>
      <c r="L5" s="61">
        <v>106</v>
      </c>
      <c r="M5" s="61">
        <v>0</v>
      </c>
      <c r="N5" s="61">
        <v>0</v>
      </c>
      <c r="O5" s="67">
        <f t="shared" si="1"/>
        <v>687</v>
      </c>
    </row>
    <row r="6" spans="1:15" s="49" customFormat="1" ht="12.75" x14ac:dyDescent="0.2">
      <c r="B6" s="62" t="s">
        <v>12</v>
      </c>
      <c r="C6" s="64">
        <v>0</v>
      </c>
      <c r="D6" s="64">
        <v>0</v>
      </c>
      <c r="E6" s="65">
        <v>0</v>
      </c>
      <c r="F6" s="66">
        <v>0</v>
      </c>
      <c r="G6" s="66">
        <v>0</v>
      </c>
      <c r="H6" s="65">
        <v>0</v>
      </c>
      <c r="I6" s="65">
        <v>0</v>
      </c>
      <c r="J6" s="65">
        <v>0</v>
      </c>
      <c r="K6" s="66">
        <v>0</v>
      </c>
      <c r="L6" s="66">
        <v>0</v>
      </c>
      <c r="M6" s="66">
        <v>0</v>
      </c>
      <c r="N6" s="66">
        <v>0</v>
      </c>
      <c r="O6" s="67">
        <f t="shared" si="1"/>
        <v>0</v>
      </c>
    </row>
    <row r="7" spans="1:15" s="49" customFormat="1" ht="12.75" x14ac:dyDescent="0.2">
      <c r="B7" s="62" t="s">
        <v>36</v>
      </c>
      <c r="C7" s="64">
        <v>131</v>
      </c>
      <c r="D7" s="64">
        <v>64</v>
      </c>
      <c r="E7" s="65">
        <v>114</v>
      </c>
      <c r="F7" s="66">
        <v>0</v>
      </c>
      <c r="G7" s="66">
        <v>82</v>
      </c>
      <c r="H7" s="65">
        <v>90</v>
      </c>
      <c r="I7" s="65">
        <v>0</v>
      </c>
      <c r="J7" s="65">
        <v>99</v>
      </c>
      <c r="K7" s="66">
        <v>0</v>
      </c>
      <c r="L7" s="104">
        <v>106</v>
      </c>
      <c r="M7" s="104">
        <v>0</v>
      </c>
      <c r="N7" s="61">
        <v>0</v>
      </c>
      <c r="O7" s="67">
        <f t="shared" si="1"/>
        <v>686</v>
      </c>
    </row>
    <row r="8" spans="1:15" s="49" customFormat="1" ht="15.6" customHeight="1" x14ac:dyDescent="0.2">
      <c r="A8" s="17" t="s">
        <v>45</v>
      </c>
      <c r="B8" s="58"/>
      <c r="C8" s="59">
        <v>76</v>
      </c>
      <c r="D8" s="68">
        <v>21</v>
      </c>
      <c r="E8" s="60">
        <v>51</v>
      </c>
      <c r="F8" s="61">
        <v>88</v>
      </c>
      <c r="G8" s="61">
        <v>88</v>
      </c>
      <c r="H8" s="60">
        <v>88</v>
      </c>
      <c r="I8" s="60">
        <v>110</v>
      </c>
      <c r="J8" s="60">
        <v>74</v>
      </c>
      <c r="K8" s="103">
        <v>88</v>
      </c>
      <c r="L8" s="61">
        <v>156</v>
      </c>
      <c r="M8" s="61">
        <v>67</v>
      </c>
      <c r="N8" s="61">
        <v>91</v>
      </c>
      <c r="O8" s="67">
        <f t="shared" si="1"/>
        <v>998</v>
      </c>
    </row>
    <row r="9" spans="1:15" s="49" customFormat="1" ht="15.6" customHeight="1" x14ac:dyDescent="0.2">
      <c r="A9" s="58"/>
      <c r="B9" s="58"/>
      <c r="C9" s="64"/>
      <c r="D9" s="69"/>
      <c r="E9" s="70"/>
      <c r="F9" s="71"/>
      <c r="G9" s="71"/>
      <c r="H9" s="72"/>
      <c r="I9" s="70"/>
      <c r="J9" s="73"/>
      <c r="K9" s="74"/>
      <c r="L9" s="71"/>
      <c r="M9" s="71"/>
      <c r="N9" s="71"/>
    </row>
    <row r="10" spans="1:15" s="49" customFormat="1" ht="12.75" x14ac:dyDescent="0.2">
      <c r="A10" s="55" t="s">
        <v>29</v>
      </c>
      <c r="B10" s="55"/>
      <c r="C10" s="56">
        <f>SUM(C11,C13,C16)</f>
        <v>1594</v>
      </c>
      <c r="D10" s="56">
        <f>SUM(D11,D13,D16)</f>
        <v>1394</v>
      </c>
      <c r="E10" s="75">
        <f t="shared" ref="E10:N10" si="2">SUM(E11,E13,E16)</f>
        <v>1546</v>
      </c>
      <c r="F10" s="75">
        <f t="shared" si="2"/>
        <v>1786</v>
      </c>
      <c r="G10" s="75">
        <f t="shared" si="2"/>
        <v>2112</v>
      </c>
      <c r="H10" s="75">
        <f t="shared" si="2"/>
        <v>2220</v>
      </c>
      <c r="I10" s="75">
        <f t="shared" si="2"/>
        <v>2278</v>
      </c>
      <c r="J10" s="75">
        <f t="shared" si="2"/>
        <v>2187</v>
      </c>
      <c r="K10" s="75">
        <f t="shared" si="2"/>
        <v>1962</v>
      </c>
      <c r="L10" s="75">
        <f t="shared" si="2"/>
        <v>2255</v>
      </c>
      <c r="M10" s="75">
        <f t="shared" si="2"/>
        <v>2177</v>
      </c>
      <c r="N10" s="75">
        <f t="shared" si="2"/>
        <v>2306</v>
      </c>
      <c r="O10" s="57">
        <f t="shared" ref="O10:O16" si="3">SUM(C10:N10)</f>
        <v>23817</v>
      </c>
    </row>
    <row r="11" spans="1:15" s="49" customFormat="1" ht="12.75" x14ac:dyDescent="0.2">
      <c r="A11" s="58" t="s">
        <v>5</v>
      </c>
      <c r="B11" s="58"/>
      <c r="C11" s="59">
        <v>1386</v>
      </c>
      <c r="D11" s="59">
        <f>SUM(D12)</f>
        <v>1311</v>
      </c>
      <c r="E11" s="60">
        <v>1388</v>
      </c>
      <c r="F11" s="61">
        <v>1689</v>
      </c>
      <c r="G11" s="61">
        <v>1935</v>
      </c>
      <c r="H11" s="61">
        <v>2032</v>
      </c>
      <c r="I11" s="61">
        <v>2177</v>
      </c>
      <c r="J11" s="60">
        <v>2010</v>
      </c>
      <c r="K11" s="61">
        <v>1881</v>
      </c>
      <c r="L11" s="61">
        <v>2012</v>
      </c>
      <c r="M11" s="61">
        <v>2103</v>
      </c>
      <c r="N11" s="61">
        <v>2218</v>
      </c>
      <c r="O11" s="68">
        <f t="shared" si="3"/>
        <v>22142</v>
      </c>
    </row>
    <row r="12" spans="1:15" s="49" customFormat="1" ht="12.75" x14ac:dyDescent="0.2">
      <c r="B12" s="62" t="s">
        <v>10</v>
      </c>
      <c r="C12" s="64">
        <v>1386</v>
      </c>
      <c r="D12" s="64">
        <v>1311</v>
      </c>
      <c r="E12" s="65">
        <v>1388</v>
      </c>
      <c r="F12" s="66">
        <v>1689</v>
      </c>
      <c r="G12" s="66">
        <v>1935</v>
      </c>
      <c r="H12" s="66">
        <v>2032</v>
      </c>
      <c r="I12" s="66">
        <v>2177</v>
      </c>
      <c r="J12" s="65">
        <v>2010</v>
      </c>
      <c r="K12" s="66">
        <v>1881</v>
      </c>
      <c r="L12" s="66">
        <v>2012</v>
      </c>
      <c r="M12" s="66">
        <v>2103</v>
      </c>
      <c r="N12" s="66">
        <v>2218</v>
      </c>
      <c r="O12" s="68">
        <f t="shared" si="3"/>
        <v>22142</v>
      </c>
    </row>
    <row r="13" spans="1:15" s="49" customFormat="1" ht="12.75" x14ac:dyDescent="0.2">
      <c r="A13" s="58" t="s">
        <v>11</v>
      </c>
      <c r="B13" s="62"/>
      <c r="C13" s="59">
        <v>132</v>
      </c>
      <c r="D13" s="59">
        <f>SUM(D14:D15)</f>
        <v>63</v>
      </c>
      <c r="E13" s="60">
        <v>114</v>
      </c>
      <c r="F13" s="61">
        <v>0</v>
      </c>
      <c r="G13" s="61">
        <v>82</v>
      </c>
      <c r="H13" s="60">
        <v>90</v>
      </c>
      <c r="I13" s="60">
        <v>0</v>
      </c>
      <c r="J13" s="60">
        <v>99</v>
      </c>
      <c r="K13" s="61">
        <v>0</v>
      </c>
      <c r="L13" s="61">
        <v>105</v>
      </c>
      <c r="M13" s="61">
        <v>0</v>
      </c>
      <c r="N13" s="61">
        <v>0</v>
      </c>
      <c r="O13" s="68">
        <f t="shared" si="3"/>
        <v>685</v>
      </c>
    </row>
    <row r="14" spans="1:15" s="49" customFormat="1" ht="12.75" x14ac:dyDescent="0.2">
      <c r="B14" s="62" t="s">
        <v>12</v>
      </c>
      <c r="C14" s="64">
        <v>0</v>
      </c>
      <c r="D14" s="64">
        <v>0</v>
      </c>
      <c r="E14" s="65">
        <v>0</v>
      </c>
      <c r="F14" s="66">
        <v>0</v>
      </c>
      <c r="G14" s="66">
        <v>0</v>
      </c>
      <c r="H14" s="65">
        <v>0</v>
      </c>
      <c r="I14" s="65">
        <v>0</v>
      </c>
      <c r="J14" s="65">
        <v>0</v>
      </c>
      <c r="K14" s="66">
        <v>0</v>
      </c>
      <c r="L14" s="66">
        <v>0</v>
      </c>
      <c r="M14" s="66">
        <v>0</v>
      </c>
      <c r="N14" s="66">
        <v>0</v>
      </c>
      <c r="O14" s="68">
        <f t="shared" si="3"/>
        <v>0</v>
      </c>
    </row>
    <row r="15" spans="1:15" s="49" customFormat="1" ht="12.75" x14ac:dyDescent="0.2">
      <c r="B15" s="62" t="s">
        <v>36</v>
      </c>
      <c r="C15" s="64">
        <v>131</v>
      </c>
      <c r="D15" s="64">
        <v>63</v>
      </c>
      <c r="E15" s="65">
        <v>114</v>
      </c>
      <c r="F15" s="66">
        <v>0</v>
      </c>
      <c r="G15" s="66">
        <v>82</v>
      </c>
      <c r="H15" s="65">
        <v>90</v>
      </c>
      <c r="I15" s="65">
        <v>0</v>
      </c>
      <c r="J15" s="65">
        <v>99</v>
      </c>
      <c r="K15" s="66">
        <v>0</v>
      </c>
      <c r="L15" s="66">
        <v>105</v>
      </c>
      <c r="M15" s="104">
        <v>0</v>
      </c>
      <c r="N15" s="61">
        <v>0</v>
      </c>
      <c r="O15" s="68">
        <f t="shared" si="3"/>
        <v>684</v>
      </c>
    </row>
    <row r="16" spans="1:15" s="49" customFormat="1" ht="15.6" customHeight="1" x14ac:dyDescent="0.2">
      <c r="A16" s="17" t="s">
        <v>46</v>
      </c>
      <c r="B16" s="58"/>
      <c r="C16" s="59">
        <v>76</v>
      </c>
      <c r="D16" s="68">
        <v>20</v>
      </c>
      <c r="E16" s="60">
        <v>44</v>
      </c>
      <c r="F16" s="61">
        <v>97</v>
      </c>
      <c r="G16" s="61">
        <v>95</v>
      </c>
      <c r="H16" s="60">
        <v>98</v>
      </c>
      <c r="I16" s="60">
        <v>101</v>
      </c>
      <c r="J16" s="60">
        <v>78</v>
      </c>
      <c r="K16" s="60">
        <v>81</v>
      </c>
      <c r="L16" s="61">
        <v>138</v>
      </c>
      <c r="M16" s="61">
        <v>74</v>
      </c>
      <c r="N16" s="61">
        <v>88</v>
      </c>
      <c r="O16" s="68">
        <f t="shared" si="3"/>
        <v>990</v>
      </c>
    </row>
    <row r="17" spans="1:15" s="49" customFormat="1" ht="15.6" customHeight="1" x14ac:dyDescent="0.2">
      <c r="A17" s="58"/>
      <c r="B17" s="58"/>
      <c r="C17" s="64"/>
      <c r="D17" s="69"/>
      <c r="E17" s="76"/>
      <c r="F17" s="69"/>
      <c r="G17" s="69"/>
      <c r="H17" s="77"/>
      <c r="I17" s="70"/>
      <c r="J17" s="62"/>
      <c r="K17" s="78"/>
    </row>
    <row r="18" spans="1:15" s="49" customFormat="1" ht="15.6" customHeight="1" x14ac:dyDescent="0.2">
      <c r="A18" s="55" t="s">
        <v>30</v>
      </c>
      <c r="B18" s="55"/>
      <c r="C18" s="56">
        <f t="shared" ref="C18:O18" si="4">SUM(C2,C10)</f>
        <v>3231</v>
      </c>
      <c r="D18" s="56">
        <f t="shared" si="4"/>
        <v>2751</v>
      </c>
      <c r="E18" s="56">
        <f t="shared" si="4"/>
        <v>3236</v>
      </c>
      <c r="F18" s="56">
        <f t="shared" si="4"/>
        <v>3455</v>
      </c>
      <c r="G18" s="56">
        <f t="shared" si="4"/>
        <v>4294</v>
      </c>
      <c r="H18" s="56">
        <f t="shared" si="4"/>
        <v>4412</v>
      </c>
      <c r="I18" s="79">
        <f t="shared" si="4"/>
        <v>4524</v>
      </c>
      <c r="J18" s="56">
        <f t="shared" si="4"/>
        <v>4454</v>
      </c>
      <c r="K18" s="56">
        <f t="shared" si="4"/>
        <v>3965</v>
      </c>
      <c r="L18" s="56">
        <f>SUM(L2,L10)</f>
        <v>4550</v>
      </c>
      <c r="M18" s="56">
        <f t="shared" si="4"/>
        <v>4408</v>
      </c>
      <c r="N18" s="56">
        <f t="shared" si="4"/>
        <v>4665</v>
      </c>
      <c r="O18" s="56">
        <f t="shared" si="4"/>
        <v>47945</v>
      </c>
    </row>
    <row r="19" spans="1:15" s="49" customFormat="1" ht="15.6" customHeight="1" x14ac:dyDescent="0.2">
      <c r="A19" s="58"/>
      <c r="B19" s="58"/>
      <c r="C19" s="64"/>
      <c r="D19" s="69"/>
      <c r="E19" s="77"/>
      <c r="F19" s="69"/>
      <c r="G19" s="69"/>
      <c r="H19" s="77"/>
      <c r="I19" s="80"/>
      <c r="J19" s="78"/>
      <c r="K19" s="78"/>
    </row>
    <row r="20" spans="1:15" s="49" customFormat="1" ht="15.6" customHeight="1" x14ac:dyDescent="0.2">
      <c r="A20" s="55" t="s">
        <v>13</v>
      </c>
      <c r="B20" s="55"/>
      <c r="C20" s="56">
        <f>SUM(C21:C22)</f>
        <v>5950</v>
      </c>
      <c r="D20" s="56">
        <f t="shared" ref="D20:N20" si="5">SUM(D21:D22)</f>
        <v>5500</v>
      </c>
      <c r="E20" s="56">
        <f t="shared" si="5"/>
        <v>5800</v>
      </c>
      <c r="F20" s="56">
        <f t="shared" si="5"/>
        <v>5500</v>
      </c>
      <c r="G20" s="56">
        <f t="shared" si="5"/>
        <v>5800</v>
      </c>
      <c r="H20" s="56">
        <f t="shared" si="5"/>
        <v>5700</v>
      </c>
      <c r="I20" s="79">
        <f t="shared" si="5"/>
        <v>5100</v>
      </c>
      <c r="J20" s="56">
        <f t="shared" si="5"/>
        <v>6100</v>
      </c>
      <c r="K20" s="56">
        <f t="shared" si="5"/>
        <v>5500</v>
      </c>
      <c r="L20" s="56">
        <f t="shared" si="5"/>
        <v>6100</v>
      </c>
      <c r="M20" s="56">
        <f t="shared" si="5"/>
        <v>6200</v>
      </c>
      <c r="N20" s="56">
        <f t="shared" si="5"/>
        <v>6200</v>
      </c>
      <c r="O20" s="56">
        <f>SUM(C20:N20)</f>
        <v>69450</v>
      </c>
    </row>
    <row r="21" spans="1:15" s="49" customFormat="1" ht="15.6" customHeight="1" x14ac:dyDescent="0.2">
      <c r="A21" s="58" t="s">
        <v>15</v>
      </c>
      <c r="B21" s="58"/>
      <c r="C21" s="59">
        <f>C30*50</f>
        <v>5650</v>
      </c>
      <c r="D21" s="59">
        <f>D30*50</f>
        <v>5200</v>
      </c>
      <c r="E21" s="59">
        <f>E30*50</f>
        <v>5500</v>
      </c>
      <c r="F21" s="59">
        <f>F30*50</f>
        <v>5500</v>
      </c>
      <c r="G21" s="59">
        <f>110*50</f>
        <v>5500</v>
      </c>
      <c r="H21" s="59">
        <f t="shared" ref="H21:N21" si="6">H30*50</f>
        <v>5400</v>
      </c>
      <c r="I21" s="59">
        <f t="shared" si="6"/>
        <v>5100</v>
      </c>
      <c r="J21" s="59">
        <f t="shared" si="6"/>
        <v>5800</v>
      </c>
      <c r="K21" s="59">
        <f t="shared" si="6"/>
        <v>5500</v>
      </c>
      <c r="L21" s="59">
        <f t="shared" si="6"/>
        <v>5800</v>
      </c>
      <c r="M21" s="59">
        <f t="shared" si="6"/>
        <v>6200</v>
      </c>
      <c r="N21" s="59">
        <f t="shared" si="6"/>
        <v>6200</v>
      </c>
      <c r="O21" s="68">
        <f>SUM(C21:N21)</f>
        <v>67350</v>
      </c>
    </row>
    <row r="22" spans="1:15" s="49" customFormat="1" ht="15.6" customHeight="1" x14ac:dyDescent="0.2">
      <c r="A22" s="58" t="s">
        <v>11</v>
      </c>
      <c r="B22" s="58"/>
      <c r="C22" s="59">
        <v>300</v>
      </c>
      <c r="D22" s="68">
        <v>300</v>
      </c>
      <c r="E22" s="82">
        <v>300</v>
      </c>
      <c r="F22" s="68">
        <v>0</v>
      </c>
      <c r="G22" s="68">
        <v>300</v>
      </c>
      <c r="H22" s="82">
        <v>300</v>
      </c>
      <c r="I22" s="83">
        <v>0</v>
      </c>
      <c r="J22" s="81">
        <v>300</v>
      </c>
      <c r="K22" s="81">
        <v>0</v>
      </c>
      <c r="L22" s="81">
        <v>300</v>
      </c>
      <c r="M22" s="81">
        <v>0</v>
      </c>
      <c r="N22" s="81">
        <v>0</v>
      </c>
      <c r="O22" s="68">
        <f>SUM(C22:N22)</f>
        <v>2100</v>
      </c>
    </row>
    <row r="23" spans="1:15" s="49" customFormat="1" ht="15.6" customHeight="1" x14ac:dyDescent="0.2">
      <c r="A23" s="58"/>
      <c r="B23" s="58"/>
      <c r="C23" s="59"/>
      <c r="D23" s="68"/>
      <c r="E23" s="77"/>
      <c r="F23" s="68"/>
      <c r="G23" s="68"/>
      <c r="H23" s="77"/>
      <c r="I23" s="84"/>
      <c r="J23" s="85"/>
      <c r="K23" s="85"/>
      <c r="L23" s="85"/>
      <c r="M23" s="85"/>
      <c r="N23" s="85"/>
    </row>
    <row r="24" spans="1:15" s="49" customFormat="1" ht="15.6" customHeight="1" x14ac:dyDescent="0.2">
      <c r="A24" s="55" t="s">
        <v>14</v>
      </c>
      <c r="B24" s="55"/>
      <c r="C24" s="86">
        <f>SUM(C3,C5,C11,C13)/C20</f>
        <v>0.51747899159663868</v>
      </c>
      <c r="D24" s="86">
        <f>SUM(D3,D5,D11,D13)/D20</f>
        <v>0.49272727272727274</v>
      </c>
      <c r="E24" s="86">
        <f t="shared" ref="E24:O24" si="7">SUM(E3,E5,E11,E13)/E20</f>
        <v>0.54155172413793107</v>
      </c>
      <c r="F24" s="86">
        <f t="shared" si="7"/>
        <v>0.5945454545454546</v>
      </c>
      <c r="G24" s="86">
        <f t="shared" si="7"/>
        <v>0.70879310344827584</v>
      </c>
      <c r="H24" s="86">
        <f t="shared" si="7"/>
        <v>0.74140350877192984</v>
      </c>
      <c r="I24" s="86">
        <f t="shared" si="7"/>
        <v>0.84568627450980394</v>
      </c>
      <c r="J24" s="86">
        <f>SUM(J3,J5,J11,J13)/J20</f>
        <v>0.70524590163934431</v>
      </c>
      <c r="K24" s="86">
        <f t="shared" si="7"/>
        <v>0.69018181818181823</v>
      </c>
      <c r="L24" s="86">
        <f t="shared" si="7"/>
        <v>0.69770491803278689</v>
      </c>
      <c r="M24" s="86">
        <f t="shared" si="7"/>
        <v>0.68822580645161291</v>
      </c>
      <c r="N24" s="86">
        <f t="shared" si="7"/>
        <v>0.72354838709677416</v>
      </c>
      <c r="O24" s="86">
        <f t="shared" si="7"/>
        <v>0.66172786177105836</v>
      </c>
    </row>
    <row r="25" spans="1:15" s="49" customFormat="1" ht="15.6" customHeight="1" x14ac:dyDescent="0.2">
      <c r="A25" s="58" t="s">
        <v>15</v>
      </c>
      <c r="B25" s="58"/>
      <c r="C25" s="87">
        <f>(SUM(C3,C11)/C21)</f>
        <v>0.49823008849557521</v>
      </c>
      <c r="D25" s="87">
        <f t="shared" ref="D25:O25" si="8">(SUM(D3,D11)/D21)</f>
        <v>0.49673076923076925</v>
      </c>
      <c r="E25" s="87">
        <f t="shared" si="8"/>
        <v>0.52963636363636368</v>
      </c>
      <c r="F25" s="87">
        <f t="shared" si="8"/>
        <v>0.5945454545454546</v>
      </c>
      <c r="G25" s="87">
        <f t="shared" si="8"/>
        <v>0.71763636363636363</v>
      </c>
      <c r="H25" s="87">
        <f t="shared" si="8"/>
        <v>0.74925925925925929</v>
      </c>
      <c r="I25" s="87">
        <f t="shared" si="8"/>
        <v>0.84568627450980394</v>
      </c>
      <c r="J25" s="87">
        <f t="shared" si="8"/>
        <v>0.70758620689655172</v>
      </c>
      <c r="K25" s="87">
        <f t="shared" si="8"/>
        <v>0.69018181818181823</v>
      </c>
      <c r="L25" s="87">
        <f>(SUM(L3,L11)/L21)</f>
        <v>0.69741379310344831</v>
      </c>
      <c r="M25" s="87">
        <f t="shared" si="8"/>
        <v>0.68822580645161291</v>
      </c>
      <c r="N25" s="87">
        <f t="shared" si="8"/>
        <v>0.72354838709677416</v>
      </c>
      <c r="O25" s="77">
        <f t="shared" si="8"/>
        <v>0.6619896065330364</v>
      </c>
    </row>
    <row r="26" spans="1:15" s="49" customFormat="1" ht="15.6" customHeight="1" x14ac:dyDescent="0.2">
      <c r="A26" s="58" t="s">
        <v>11</v>
      </c>
      <c r="B26" s="58"/>
      <c r="C26" s="87">
        <f>(SUM(C5,C13)/C22)</f>
        <v>0.88</v>
      </c>
      <c r="D26" s="87">
        <f>288/300</f>
        <v>0.96</v>
      </c>
      <c r="E26" s="87">
        <f t="shared" ref="E26:G26" si="9">(SUM(E5,E13)/E22)</f>
        <v>0.76</v>
      </c>
      <c r="F26" s="107" t="s">
        <v>33</v>
      </c>
      <c r="G26" s="87">
        <f t="shared" si="9"/>
        <v>0.54666666666666663</v>
      </c>
      <c r="H26" s="87">
        <f>(SUM(H5,H13)/H22)</f>
        <v>0.6</v>
      </c>
      <c r="I26" s="107" t="s">
        <v>33</v>
      </c>
      <c r="J26" s="87">
        <f>SUM(J5,J13)/J22</f>
        <v>0.66</v>
      </c>
      <c r="K26" s="87" t="s">
        <v>33</v>
      </c>
      <c r="L26" s="87">
        <f>SUM(L5,L13)/L22</f>
        <v>0.70333333333333337</v>
      </c>
      <c r="M26" s="87" t="s">
        <v>33</v>
      </c>
      <c r="N26" s="26" t="s">
        <v>33</v>
      </c>
      <c r="O26" s="77">
        <f>(SUM(O13,O5)/O22)</f>
        <v>0.65333333333333332</v>
      </c>
    </row>
    <row r="27" spans="1:15" s="49" customFormat="1" ht="15.6" customHeight="1" x14ac:dyDescent="0.2">
      <c r="A27" s="58"/>
      <c r="B27" s="58"/>
      <c r="C27" s="59"/>
      <c r="D27" s="68"/>
      <c r="E27" s="77"/>
      <c r="F27" s="68"/>
      <c r="G27" s="68"/>
      <c r="H27" s="77"/>
      <c r="I27" s="84"/>
      <c r="J27" s="78"/>
      <c r="K27" s="78"/>
    </row>
    <row r="28" spans="1:15" x14ac:dyDescent="0.2">
      <c r="A28" s="55" t="s">
        <v>17</v>
      </c>
      <c r="B28" s="55"/>
      <c r="C28" s="89">
        <f>C30/C29</f>
        <v>0.97413793103448276</v>
      </c>
      <c r="D28" s="89">
        <f t="shared" ref="D28:O28" si="10">D30/D29</f>
        <v>1</v>
      </c>
      <c r="E28" s="86">
        <f t="shared" si="10"/>
        <v>0.96491228070175439</v>
      </c>
      <c r="F28" s="86">
        <f t="shared" si="10"/>
        <v>0.9821428571428571</v>
      </c>
      <c r="G28" s="86">
        <f t="shared" si="10"/>
        <v>1</v>
      </c>
      <c r="H28" s="86">
        <f t="shared" si="10"/>
        <v>0.98181818181818181</v>
      </c>
      <c r="I28" s="86">
        <f t="shared" si="10"/>
        <v>0.98076923076923073</v>
      </c>
      <c r="J28" s="86">
        <f t="shared" si="10"/>
        <v>1</v>
      </c>
      <c r="K28" s="86">
        <f t="shared" si="10"/>
        <v>1</v>
      </c>
      <c r="L28" s="86">
        <f t="shared" si="10"/>
        <v>0.99145299145299148</v>
      </c>
      <c r="M28" s="86">
        <f t="shared" si="10"/>
        <v>1</v>
      </c>
      <c r="N28" s="86">
        <f t="shared" si="10"/>
        <v>1</v>
      </c>
      <c r="O28" s="86">
        <f t="shared" si="10"/>
        <v>0.98971344599559152</v>
      </c>
    </row>
    <row r="29" spans="1:15" x14ac:dyDescent="0.2">
      <c r="A29" s="58" t="s">
        <v>21</v>
      </c>
      <c r="C29" s="64">
        <v>116</v>
      </c>
      <c r="D29" s="64">
        <v>104</v>
      </c>
      <c r="E29" s="69">
        <v>114</v>
      </c>
      <c r="F29" s="69">
        <v>112</v>
      </c>
      <c r="G29" s="69">
        <v>110</v>
      </c>
      <c r="H29" s="69">
        <v>110</v>
      </c>
      <c r="I29" s="64">
        <v>104</v>
      </c>
      <c r="J29" s="69">
        <v>116</v>
      </c>
      <c r="K29" s="69">
        <v>110</v>
      </c>
      <c r="L29" s="69">
        <v>117</v>
      </c>
      <c r="M29" s="69">
        <v>124</v>
      </c>
      <c r="N29" s="69">
        <v>124</v>
      </c>
      <c r="O29" s="68">
        <f>SUM(C29:N29)</f>
        <v>1361</v>
      </c>
    </row>
    <row r="30" spans="1:15" x14ac:dyDescent="0.2">
      <c r="A30" s="58" t="s">
        <v>22</v>
      </c>
      <c r="C30" s="64">
        <v>113</v>
      </c>
      <c r="D30" s="64">
        <v>104</v>
      </c>
      <c r="E30" s="69">
        <v>110</v>
      </c>
      <c r="F30" s="69">
        <v>110</v>
      </c>
      <c r="G30" s="69">
        <v>110</v>
      </c>
      <c r="H30" s="69">
        <v>108</v>
      </c>
      <c r="I30" s="64">
        <v>102</v>
      </c>
      <c r="J30" s="69">
        <v>116</v>
      </c>
      <c r="K30" s="69">
        <v>110</v>
      </c>
      <c r="L30" s="69">
        <v>116</v>
      </c>
      <c r="M30" s="69">
        <v>124</v>
      </c>
      <c r="N30" s="69">
        <v>124</v>
      </c>
      <c r="O30" s="68">
        <f>SUM(C30:N30)</f>
        <v>1347</v>
      </c>
    </row>
    <row r="31" spans="1:15" x14ac:dyDescent="0.2">
      <c r="D31" s="64"/>
      <c r="E31" s="69"/>
      <c r="F31" s="69"/>
      <c r="G31" s="69"/>
      <c r="H31" s="69"/>
      <c r="I31" s="64"/>
      <c r="J31" s="69"/>
      <c r="K31" s="69"/>
      <c r="L31" s="69"/>
      <c r="M31" s="69"/>
      <c r="N31" s="69"/>
      <c r="O31" s="69"/>
    </row>
    <row r="32" spans="1:15" s="49" customFormat="1" ht="15.6" customHeight="1" x14ac:dyDescent="0.2">
      <c r="A32" s="55" t="s">
        <v>32</v>
      </c>
      <c r="B32" s="55"/>
      <c r="C32" s="56">
        <f>SUM(C33:C39)</f>
        <v>103199</v>
      </c>
      <c r="D32" s="56">
        <f t="shared" ref="D32:N32" si="11">SUM(D33:D39)</f>
        <v>91339</v>
      </c>
      <c r="E32" s="56">
        <f t="shared" si="11"/>
        <v>94863</v>
      </c>
      <c r="F32" s="56">
        <f t="shared" si="11"/>
        <v>85066</v>
      </c>
      <c r="G32" s="56">
        <f t="shared" si="11"/>
        <v>103220</v>
      </c>
      <c r="H32" s="56">
        <f t="shared" si="11"/>
        <v>93924</v>
      </c>
      <c r="I32" s="56">
        <f t="shared" si="11"/>
        <v>96888</v>
      </c>
      <c r="J32" s="56">
        <f t="shared" si="11"/>
        <v>121334</v>
      </c>
      <c r="K32" s="56">
        <f t="shared" si="11"/>
        <v>103306</v>
      </c>
      <c r="L32" s="56">
        <f>SUM(L33:L39)</f>
        <v>110373</v>
      </c>
      <c r="M32" s="56">
        <f t="shared" si="11"/>
        <v>104247</v>
      </c>
      <c r="N32" s="56">
        <f t="shared" si="11"/>
        <v>114823</v>
      </c>
      <c r="O32" s="57">
        <f t="shared" ref="O32:O39" si="12">SUM(C32:N32)</f>
        <v>1222582</v>
      </c>
    </row>
    <row r="33" spans="1:15" s="49" customFormat="1" ht="15.6" customHeight="1" x14ac:dyDescent="0.2">
      <c r="A33" s="58" t="s">
        <v>18</v>
      </c>
      <c r="B33" s="58"/>
      <c r="C33" s="69">
        <v>45321</v>
      </c>
      <c r="D33" s="64">
        <v>39391</v>
      </c>
      <c r="E33" s="90">
        <v>40859</v>
      </c>
      <c r="F33" s="69">
        <v>36463</v>
      </c>
      <c r="G33" s="69">
        <v>49969</v>
      </c>
      <c r="H33" s="90">
        <v>46673</v>
      </c>
      <c r="I33" s="64">
        <v>45800</v>
      </c>
      <c r="J33" s="69">
        <v>49756</v>
      </c>
      <c r="K33" s="69">
        <f>36043+3500</f>
        <v>39543</v>
      </c>
      <c r="L33" s="69">
        <v>44699</v>
      </c>
      <c r="M33" s="69">
        <v>42065</v>
      </c>
      <c r="N33" s="69">
        <v>45255</v>
      </c>
      <c r="O33" s="68">
        <f t="shared" si="12"/>
        <v>525794</v>
      </c>
    </row>
    <row r="34" spans="1:15" s="49" customFormat="1" ht="15.6" customHeight="1" x14ac:dyDescent="0.2">
      <c r="A34" s="58" t="s">
        <v>37</v>
      </c>
      <c r="B34" s="58"/>
      <c r="C34" s="69">
        <v>1982</v>
      </c>
      <c r="D34" s="64">
        <v>0</v>
      </c>
      <c r="E34" s="90">
        <v>0</v>
      </c>
      <c r="F34" s="69">
        <v>0</v>
      </c>
      <c r="G34" s="69">
        <v>0</v>
      </c>
      <c r="H34" s="90">
        <v>0</v>
      </c>
      <c r="I34" s="64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8">
        <f t="shared" si="12"/>
        <v>1982</v>
      </c>
    </row>
    <row r="35" spans="1:15" s="49" customFormat="1" ht="15.6" customHeight="1" x14ac:dyDescent="0.2">
      <c r="A35" s="58" t="s">
        <v>39</v>
      </c>
      <c r="B35" s="58"/>
      <c r="C35" s="69">
        <v>1398</v>
      </c>
      <c r="D35" s="64">
        <v>8898</v>
      </c>
      <c r="E35" s="90">
        <v>13295</v>
      </c>
      <c r="F35" s="69">
        <v>12085</v>
      </c>
      <c r="G35" s="69">
        <v>10642</v>
      </c>
      <c r="H35" s="90">
        <v>1398</v>
      </c>
      <c r="I35" s="64">
        <f>6584+6806</f>
        <v>13390</v>
      </c>
      <c r="J35" s="69">
        <f>8121+8644</f>
        <v>16765</v>
      </c>
      <c r="K35" s="69">
        <v>20954</v>
      </c>
      <c r="L35" s="69">
        <v>10770</v>
      </c>
      <c r="M35" s="69">
        <v>12307</v>
      </c>
      <c r="N35" s="69">
        <v>17334</v>
      </c>
      <c r="O35" s="68">
        <f t="shared" si="12"/>
        <v>139236</v>
      </c>
    </row>
    <row r="36" spans="1:15" s="49" customFormat="1" ht="15.6" customHeight="1" x14ac:dyDescent="0.2">
      <c r="A36" s="58" t="s">
        <v>42</v>
      </c>
      <c r="B36" s="58"/>
      <c r="C36" s="69">
        <v>0</v>
      </c>
      <c r="D36" s="64">
        <v>0</v>
      </c>
      <c r="E36" s="90">
        <v>0</v>
      </c>
      <c r="F36" s="69">
        <v>0</v>
      </c>
      <c r="G36" s="69">
        <v>0</v>
      </c>
      <c r="H36" s="90">
        <v>0</v>
      </c>
      <c r="I36" s="64">
        <v>0</v>
      </c>
      <c r="J36" s="69">
        <v>0</v>
      </c>
      <c r="K36" s="69">
        <v>0</v>
      </c>
      <c r="L36" s="69">
        <v>0</v>
      </c>
      <c r="M36" s="69">
        <v>0</v>
      </c>
      <c r="N36" s="69">
        <v>205</v>
      </c>
      <c r="O36" s="68">
        <f t="shared" si="12"/>
        <v>205</v>
      </c>
    </row>
    <row r="37" spans="1:15" s="49" customFormat="1" ht="13.9" customHeight="1" x14ac:dyDescent="0.2">
      <c r="A37" s="58" t="s">
        <v>19</v>
      </c>
      <c r="B37" s="58"/>
      <c r="C37" s="69">
        <v>54498</v>
      </c>
      <c r="D37" s="64">
        <v>43050</v>
      </c>
      <c r="E37" s="90">
        <v>40709</v>
      </c>
      <c r="F37" s="69">
        <v>36518</v>
      </c>
      <c r="G37" s="69">
        <v>42609</v>
      </c>
      <c r="H37" s="90">
        <v>45853</v>
      </c>
      <c r="I37" s="64">
        <v>37698</v>
      </c>
      <c r="J37" s="69">
        <v>54813</v>
      </c>
      <c r="K37" s="69">
        <f>30934+11875</f>
        <v>42809</v>
      </c>
      <c r="L37" s="69">
        <v>54904</v>
      </c>
      <c r="M37" s="69">
        <v>49875</v>
      </c>
      <c r="N37" s="69">
        <v>52029</v>
      </c>
      <c r="O37" s="68">
        <f t="shared" si="12"/>
        <v>555365</v>
      </c>
    </row>
    <row r="38" spans="1:15" s="49" customFormat="1" ht="13.9" customHeight="1" x14ac:dyDescent="0.2">
      <c r="A38" s="58" t="s">
        <v>20</v>
      </c>
      <c r="B38" s="58"/>
      <c r="C38" s="69">
        <v>0</v>
      </c>
      <c r="D38" s="64">
        <v>0</v>
      </c>
      <c r="E38" s="90">
        <v>0</v>
      </c>
      <c r="F38" s="69">
        <v>0</v>
      </c>
      <c r="G38" s="69">
        <v>0</v>
      </c>
      <c r="H38" s="90">
        <v>0</v>
      </c>
      <c r="I38" s="64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8">
        <f t="shared" si="12"/>
        <v>0</v>
      </c>
    </row>
    <row r="39" spans="1:15" s="49" customFormat="1" ht="13.9" customHeight="1" x14ac:dyDescent="0.2">
      <c r="A39" s="58" t="s">
        <v>7</v>
      </c>
      <c r="B39" s="58"/>
      <c r="C39" s="69">
        <v>0</v>
      </c>
      <c r="D39" s="64">
        <v>0</v>
      </c>
      <c r="E39" s="90">
        <v>0</v>
      </c>
      <c r="F39" s="69">
        <v>0</v>
      </c>
      <c r="G39" s="69">
        <v>0</v>
      </c>
      <c r="H39" s="90">
        <v>0</v>
      </c>
      <c r="I39" s="64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8">
        <f t="shared" si="12"/>
        <v>0</v>
      </c>
    </row>
    <row r="40" spans="1:15" s="49" customFormat="1" ht="12.75" x14ac:dyDescent="0.2">
      <c r="A40" s="58"/>
      <c r="B40" s="58"/>
      <c r="C40" s="59"/>
      <c r="D40" s="68"/>
      <c r="E40" s="90"/>
      <c r="F40" s="68"/>
      <c r="G40" s="68"/>
      <c r="H40" s="67"/>
      <c r="I40" s="67"/>
      <c r="J40" s="67"/>
      <c r="K40" s="67"/>
      <c r="L40" s="67"/>
      <c r="M40" s="67"/>
      <c r="N40" s="67"/>
      <c r="O40" s="67"/>
    </row>
    <row r="41" spans="1:15" s="49" customFormat="1" ht="13.9" customHeight="1" x14ac:dyDescent="0.2">
      <c r="A41" s="55" t="s">
        <v>8</v>
      </c>
      <c r="B41" s="55"/>
      <c r="C41" s="56">
        <f t="shared" ref="C41:N41" si="13">SUM(C42:C52)</f>
        <v>3611789</v>
      </c>
      <c r="D41" s="56">
        <f t="shared" si="13"/>
        <v>3518973</v>
      </c>
      <c r="E41" s="56">
        <f>SUM(E42:E52)</f>
        <v>3784921</v>
      </c>
      <c r="F41" s="56">
        <f t="shared" si="13"/>
        <v>3604875</v>
      </c>
      <c r="G41" s="56">
        <f t="shared" si="13"/>
        <v>3855191</v>
      </c>
      <c r="H41" s="56">
        <f t="shared" si="13"/>
        <v>3794312</v>
      </c>
      <c r="I41" s="56">
        <f t="shared" si="13"/>
        <v>3560249</v>
      </c>
      <c r="J41" s="56">
        <f t="shared" si="13"/>
        <v>4100701</v>
      </c>
      <c r="K41" s="56">
        <f t="shared" si="13"/>
        <v>3613854</v>
      </c>
      <c r="L41" s="56">
        <f t="shared" si="13"/>
        <v>4205655</v>
      </c>
      <c r="M41" s="56">
        <f t="shared" si="13"/>
        <v>4125302</v>
      </c>
      <c r="N41" s="56">
        <f t="shared" si="13"/>
        <v>4073585</v>
      </c>
      <c r="O41" s="56">
        <f t="shared" ref="O41:O52" si="14">SUM(C41:N41)</f>
        <v>45849407</v>
      </c>
    </row>
    <row r="42" spans="1:15" s="49" customFormat="1" ht="13.9" customHeight="1" x14ac:dyDescent="0.2">
      <c r="A42" s="58" t="s">
        <v>23</v>
      </c>
      <c r="B42" s="58"/>
      <c r="C42" s="64">
        <f>2632000+75100</f>
        <v>2707100</v>
      </c>
      <c r="D42" s="69">
        <v>2444000</v>
      </c>
      <c r="E42" s="90">
        <v>2585000</v>
      </c>
      <c r="F42" s="69">
        <v>2585000</v>
      </c>
      <c r="G42" s="69">
        <v>2585000</v>
      </c>
      <c r="H42" s="90">
        <v>2538000</v>
      </c>
      <c r="I42" s="90">
        <v>2397000</v>
      </c>
      <c r="J42" s="90">
        <v>2726000</v>
      </c>
      <c r="K42" s="90">
        <v>2585000</v>
      </c>
      <c r="L42" s="90">
        <v>2773000</v>
      </c>
      <c r="M42" s="90">
        <v>2914000</v>
      </c>
      <c r="N42" s="90">
        <v>2914000</v>
      </c>
      <c r="O42" s="67">
        <f t="shared" si="14"/>
        <v>31753100</v>
      </c>
    </row>
    <row r="43" spans="1:15" s="49" customFormat="1" ht="13.9" customHeight="1" x14ac:dyDescent="0.2">
      <c r="A43" s="58" t="s">
        <v>36</v>
      </c>
      <c r="B43" s="58"/>
      <c r="C43" s="64">
        <v>234000</v>
      </c>
      <c r="D43" s="69">
        <v>234000</v>
      </c>
      <c r="E43" s="90">
        <v>234000</v>
      </c>
      <c r="F43" s="69">
        <v>0</v>
      </c>
      <c r="G43" s="69">
        <v>234000</v>
      </c>
      <c r="H43" s="90">
        <v>234000</v>
      </c>
      <c r="I43" s="90">
        <v>0</v>
      </c>
      <c r="J43" s="90">
        <v>234000</v>
      </c>
      <c r="K43" s="90">
        <v>0</v>
      </c>
      <c r="L43" s="90">
        <v>242000</v>
      </c>
      <c r="M43" s="90">
        <v>0</v>
      </c>
      <c r="N43" s="90">
        <v>0</v>
      </c>
      <c r="O43" s="67">
        <f t="shared" si="14"/>
        <v>1646000</v>
      </c>
    </row>
    <row r="44" spans="1:15" s="49" customFormat="1" ht="13.9" customHeight="1" x14ac:dyDescent="0.2">
      <c r="A44" s="58" t="s">
        <v>24</v>
      </c>
      <c r="B44" s="58"/>
      <c r="C44" s="64">
        <v>0</v>
      </c>
      <c r="D44" s="69">
        <v>0</v>
      </c>
      <c r="E44" s="90">
        <v>0</v>
      </c>
      <c r="F44" s="69">
        <v>0</v>
      </c>
      <c r="G44" s="69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67">
        <f t="shared" si="14"/>
        <v>0</v>
      </c>
    </row>
    <row r="45" spans="1:15" s="49" customFormat="1" ht="13.9" customHeight="1" x14ac:dyDescent="0.2">
      <c r="A45" s="58" t="s">
        <v>25</v>
      </c>
      <c r="B45" s="58"/>
      <c r="C45" s="64">
        <v>212500</v>
      </c>
      <c r="D45" s="69">
        <v>204000</v>
      </c>
      <c r="E45" s="90">
        <v>229500</v>
      </c>
      <c r="F45" s="69">
        <v>212500</v>
      </c>
      <c r="G45" s="69">
        <v>229500</v>
      </c>
      <c r="H45" s="90">
        <v>229500</v>
      </c>
      <c r="I45" s="90">
        <v>212500</v>
      </c>
      <c r="J45" s="90">
        <v>246500</v>
      </c>
      <c r="K45" s="90">
        <v>204000</v>
      </c>
      <c r="L45" s="90">
        <v>238000</v>
      </c>
      <c r="M45" s="90">
        <v>204000</v>
      </c>
      <c r="N45" s="90">
        <v>229500</v>
      </c>
      <c r="O45" s="67">
        <f t="shared" si="14"/>
        <v>2652000</v>
      </c>
    </row>
    <row r="46" spans="1:15" s="49" customFormat="1" ht="13.9" customHeight="1" x14ac:dyDescent="0.2">
      <c r="A46" s="58" t="s">
        <v>26</v>
      </c>
      <c r="B46" s="58"/>
      <c r="C46" s="64">
        <v>310200</v>
      </c>
      <c r="D46" s="69">
        <v>277200</v>
      </c>
      <c r="E46" s="90">
        <v>281000</v>
      </c>
      <c r="F46" s="69">
        <v>244900</v>
      </c>
      <c r="G46" s="69">
        <v>305200</v>
      </c>
      <c r="H46" s="90">
        <v>307900</v>
      </c>
      <c r="I46" s="90">
        <v>297000</v>
      </c>
      <c r="J46" s="90">
        <v>309100</v>
      </c>
      <c r="K46" s="90">
        <v>272300</v>
      </c>
      <c r="L46" s="90">
        <v>323200</v>
      </c>
      <c r="M46" s="90">
        <v>291900</v>
      </c>
      <c r="N46" s="90">
        <v>312600</v>
      </c>
      <c r="O46" s="67">
        <f t="shared" si="14"/>
        <v>3532500</v>
      </c>
    </row>
    <row r="47" spans="1:15" s="49" customFormat="1" ht="13.9" customHeight="1" x14ac:dyDescent="0.2">
      <c r="A47" s="58" t="s">
        <v>40</v>
      </c>
      <c r="B47" s="58"/>
      <c r="C47" s="64">
        <v>26000</v>
      </c>
      <c r="D47" s="69">
        <v>0</v>
      </c>
      <c r="E47" s="90">
        <v>0</v>
      </c>
      <c r="F47" s="69">
        <v>0</v>
      </c>
      <c r="G47" s="69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67">
        <f t="shared" si="14"/>
        <v>26000</v>
      </c>
    </row>
    <row r="48" spans="1:15" s="49" customFormat="1" ht="13.9" customHeight="1" x14ac:dyDescent="0.2">
      <c r="A48" s="58" t="s">
        <v>38</v>
      </c>
      <c r="B48" s="58"/>
      <c r="C48" s="64">
        <v>32700</v>
      </c>
      <c r="D48" s="69">
        <v>48300</v>
      </c>
      <c r="E48" s="90">
        <v>80500</v>
      </c>
      <c r="F48" s="69">
        <v>80500</v>
      </c>
      <c r="G48" s="69">
        <v>59200</v>
      </c>
      <c r="H48" s="90">
        <v>32700</v>
      </c>
      <c r="I48" s="90">
        <v>48800</v>
      </c>
      <c r="J48" s="90">
        <v>43600</v>
      </c>
      <c r="K48" s="90">
        <v>80500</v>
      </c>
      <c r="L48" s="90">
        <v>64400</v>
      </c>
      <c r="M48" s="90">
        <v>64400</v>
      </c>
      <c r="N48" s="90">
        <v>75300</v>
      </c>
      <c r="O48" s="67">
        <f t="shared" si="14"/>
        <v>710900</v>
      </c>
    </row>
    <row r="49" spans="1:15" s="49" customFormat="1" ht="13.9" customHeight="1" x14ac:dyDescent="0.2">
      <c r="A49" s="58" t="s">
        <v>43</v>
      </c>
      <c r="B49" s="58"/>
      <c r="C49" s="64">
        <v>0</v>
      </c>
      <c r="D49" s="69">
        <v>0</v>
      </c>
      <c r="E49" s="90">
        <v>0</v>
      </c>
      <c r="F49" s="69">
        <v>0</v>
      </c>
      <c r="G49" s="69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7368</v>
      </c>
      <c r="O49" s="67">
        <f t="shared" si="14"/>
        <v>7368</v>
      </c>
    </row>
    <row r="50" spans="1:15" s="49" customFormat="1" ht="13.9" customHeight="1" x14ac:dyDescent="0.2">
      <c r="A50" s="58" t="s">
        <v>27</v>
      </c>
      <c r="B50" s="58"/>
      <c r="C50" s="64">
        <v>0</v>
      </c>
      <c r="D50" s="69">
        <v>63448</v>
      </c>
      <c r="E50" s="90">
        <v>126896</v>
      </c>
      <c r="F50" s="69">
        <v>253792</v>
      </c>
      <c r="G50" s="69">
        <v>253792</v>
      </c>
      <c r="H50" s="90">
        <v>253792</v>
      </c>
      <c r="I50" s="90">
        <v>317240</v>
      </c>
      <c r="J50" s="90">
        <v>253792</v>
      </c>
      <c r="K50" s="90">
        <v>253792</v>
      </c>
      <c r="L50" s="90">
        <v>416240</v>
      </c>
      <c r="M50" s="90">
        <v>432740</v>
      </c>
      <c r="N50" s="90">
        <v>286792</v>
      </c>
      <c r="O50" s="67">
        <f t="shared" si="14"/>
        <v>2912316</v>
      </c>
    </row>
    <row r="51" spans="1:15" s="49" customFormat="1" ht="13.9" customHeight="1" x14ac:dyDescent="0.2">
      <c r="A51" s="58" t="s">
        <v>44</v>
      </c>
      <c r="B51" s="58"/>
      <c r="C51" s="64">
        <v>89289</v>
      </c>
      <c r="D51" s="69">
        <v>248025</v>
      </c>
      <c r="E51" s="90">
        <v>248025</v>
      </c>
      <c r="F51" s="69">
        <v>228183</v>
      </c>
      <c r="G51" s="69">
        <v>188499</v>
      </c>
      <c r="H51" s="90">
        <v>198420</v>
      </c>
      <c r="I51" s="90">
        <v>287709</v>
      </c>
      <c r="J51" s="90">
        <v>287709</v>
      </c>
      <c r="K51" s="90">
        <v>218262</v>
      </c>
      <c r="L51" s="90">
        <v>148815</v>
      </c>
      <c r="M51" s="90">
        <v>218262</v>
      </c>
      <c r="N51" s="90">
        <v>248025</v>
      </c>
      <c r="O51" s="67">
        <f>SUM(C51:N51)</f>
        <v>2609223</v>
      </c>
    </row>
    <row r="52" spans="1:15" s="49" customFormat="1" ht="13.9" customHeight="1" x14ac:dyDescent="0.2">
      <c r="A52" s="58" t="s">
        <v>28</v>
      </c>
      <c r="B52" s="58"/>
      <c r="C52" s="64">
        <v>0</v>
      </c>
      <c r="D52" s="69">
        <v>0</v>
      </c>
      <c r="E52" s="90">
        <v>0</v>
      </c>
      <c r="F52" s="69">
        <v>0</v>
      </c>
      <c r="G52" s="69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67">
        <f t="shared" si="14"/>
        <v>0</v>
      </c>
    </row>
    <row r="53" spans="1:15" s="49" customFormat="1" ht="15" customHeight="1" x14ac:dyDescent="0.2">
      <c r="A53" s="63"/>
      <c r="B53" s="63"/>
      <c r="C53" s="59"/>
      <c r="D53" s="59"/>
      <c r="E53" s="90"/>
      <c r="F53" s="69"/>
      <c r="G53" s="68"/>
      <c r="H53" s="67"/>
      <c r="I53" s="67"/>
      <c r="J53" s="67"/>
      <c r="K53" s="90"/>
      <c r="L53" s="67"/>
      <c r="M53" s="67"/>
      <c r="N53" s="67"/>
      <c r="O53" s="67"/>
    </row>
    <row r="54" spans="1:15" x14ac:dyDescent="0.2">
      <c r="A54" s="55" t="s">
        <v>35</v>
      </c>
      <c r="B54" s="88"/>
      <c r="C54" s="56">
        <f>SUM(C55:C65)</f>
        <v>241</v>
      </c>
      <c r="D54" s="56">
        <f>SUM(D55:D65)</f>
        <v>258</v>
      </c>
      <c r="E54" s="56">
        <f>SUM(E55:E65)</f>
        <v>281</v>
      </c>
      <c r="F54" s="56">
        <f t="shared" ref="F54:O54" si="15">SUM(F55:F65)</f>
        <v>271</v>
      </c>
      <c r="G54" s="56">
        <f t="shared" si="15"/>
        <v>276</v>
      </c>
      <c r="H54" s="56">
        <f t="shared" si="15"/>
        <v>279</v>
      </c>
      <c r="I54" s="56">
        <f t="shared" si="15"/>
        <v>279</v>
      </c>
      <c r="J54" s="56">
        <f t="shared" si="15"/>
        <v>306</v>
      </c>
      <c r="K54" s="56">
        <f t="shared" si="15"/>
        <v>267</v>
      </c>
      <c r="L54" s="56">
        <f t="shared" si="15"/>
        <v>292</v>
      </c>
      <c r="M54" s="56">
        <f t="shared" si="15"/>
        <v>300</v>
      </c>
      <c r="N54" s="56">
        <f t="shared" si="15"/>
        <v>302</v>
      </c>
      <c r="O54" s="56">
        <f t="shared" si="15"/>
        <v>3352</v>
      </c>
    </row>
    <row r="55" spans="1:15" x14ac:dyDescent="0.2">
      <c r="A55" s="58" t="s">
        <v>23</v>
      </c>
      <c r="C55" s="64">
        <v>113</v>
      </c>
      <c r="D55" s="64">
        <v>104</v>
      </c>
      <c r="E55" s="64">
        <v>110</v>
      </c>
      <c r="F55" s="64">
        <v>110</v>
      </c>
      <c r="G55" s="64">
        <v>110</v>
      </c>
      <c r="H55" s="64">
        <v>108</v>
      </c>
      <c r="I55" s="64">
        <v>102</v>
      </c>
      <c r="J55" s="64">
        <v>116</v>
      </c>
      <c r="K55" s="64">
        <v>110</v>
      </c>
      <c r="L55" s="64">
        <v>117</v>
      </c>
      <c r="M55" s="64">
        <v>124</v>
      </c>
      <c r="N55" s="64">
        <v>124</v>
      </c>
      <c r="O55" s="91">
        <f t="shared" ref="O55:O65" si="16">SUM(C55:N55)</f>
        <v>1348</v>
      </c>
    </row>
    <row r="56" spans="1:15" x14ac:dyDescent="0.2">
      <c r="A56" s="58" t="s">
        <v>36</v>
      </c>
      <c r="C56" s="92">
        <v>4</v>
      </c>
      <c r="D56" s="92">
        <v>4</v>
      </c>
      <c r="E56" s="93">
        <v>4</v>
      </c>
      <c r="F56" s="93">
        <v>0</v>
      </c>
      <c r="G56" s="93">
        <v>4</v>
      </c>
      <c r="H56" s="93">
        <v>4</v>
      </c>
      <c r="I56" s="92">
        <v>0</v>
      </c>
      <c r="J56" s="93">
        <v>4</v>
      </c>
      <c r="K56" s="93">
        <v>0</v>
      </c>
      <c r="L56" s="93">
        <v>4</v>
      </c>
      <c r="M56" s="93">
        <v>0</v>
      </c>
      <c r="N56" s="93">
        <v>0</v>
      </c>
      <c r="O56" s="91">
        <f t="shared" si="16"/>
        <v>28</v>
      </c>
    </row>
    <row r="57" spans="1:15" x14ac:dyDescent="0.2">
      <c r="A57" s="58" t="s">
        <v>24</v>
      </c>
      <c r="C57" s="92">
        <v>0</v>
      </c>
      <c r="D57" s="92">
        <v>0</v>
      </c>
      <c r="E57" s="93">
        <v>0</v>
      </c>
      <c r="F57" s="93">
        <v>0</v>
      </c>
      <c r="G57" s="93">
        <v>0</v>
      </c>
      <c r="H57" s="93">
        <v>0</v>
      </c>
      <c r="I57" s="92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1">
        <f t="shared" si="16"/>
        <v>0</v>
      </c>
    </row>
    <row r="58" spans="1:15" x14ac:dyDescent="0.2">
      <c r="A58" s="58" t="s">
        <v>25</v>
      </c>
      <c r="C58" s="92">
        <v>50</v>
      </c>
      <c r="D58" s="92">
        <v>48</v>
      </c>
      <c r="E58" s="93">
        <v>54</v>
      </c>
      <c r="F58" s="93">
        <v>50</v>
      </c>
      <c r="G58" s="93">
        <v>54</v>
      </c>
      <c r="H58" s="93">
        <v>54</v>
      </c>
      <c r="I58" s="92">
        <v>50</v>
      </c>
      <c r="J58" s="93">
        <v>58</v>
      </c>
      <c r="K58" s="93">
        <v>48</v>
      </c>
      <c r="L58" s="93">
        <v>56</v>
      </c>
      <c r="M58" s="93">
        <v>48</v>
      </c>
      <c r="N58" s="93">
        <v>54</v>
      </c>
      <c r="O58" s="91">
        <f t="shared" si="16"/>
        <v>624</v>
      </c>
    </row>
    <row r="59" spans="1:15" x14ac:dyDescent="0.2">
      <c r="A59" s="58" t="s">
        <v>26</v>
      </c>
      <c r="C59" s="92">
        <v>46</v>
      </c>
      <c r="D59" s="92">
        <v>42</v>
      </c>
      <c r="E59" s="93">
        <v>45</v>
      </c>
      <c r="F59" s="93">
        <v>39</v>
      </c>
      <c r="G59" s="93">
        <v>46</v>
      </c>
      <c r="H59" s="93">
        <v>47</v>
      </c>
      <c r="I59" s="92">
        <v>41</v>
      </c>
      <c r="J59" s="93">
        <v>46</v>
      </c>
      <c r="K59" s="93">
        <v>39</v>
      </c>
      <c r="L59" s="93">
        <v>45</v>
      </c>
      <c r="M59" s="93">
        <v>42</v>
      </c>
      <c r="N59" s="93">
        <v>42</v>
      </c>
      <c r="O59" s="91">
        <f t="shared" si="16"/>
        <v>520</v>
      </c>
    </row>
    <row r="60" spans="1:15" x14ac:dyDescent="0.2">
      <c r="A60" s="58" t="s">
        <v>40</v>
      </c>
      <c r="C60" s="92">
        <v>4</v>
      </c>
      <c r="D60" s="92">
        <v>0</v>
      </c>
      <c r="E60" s="93">
        <v>0</v>
      </c>
      <c r="F60" s="93">
        <v>0</v>
      </c>
      <c r="G60" s="93">
        <v>0</v>
      </c>
      <c r="H60" s="93">
        <v>0</v>
      </c>
      <c r="I60" s="92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1">
        <f t="shared" si="16"/>
        <v>4</v>
      </c>
    </row>
    <row r="61" spans="1:15" x14ac:dyDescent="0.2">
      <c r="A61" s="58" t="s">
        <v>38</v>
      </c>
      <c r="C61" s="92">
        <v>6</v>
      </c>
      <c r="D61" s="92">
        <v>6</v>
      </c>
      <c r="E61" s="93">
        <v>10</v>
      </c>
      <c r="F61" s="93">
        <v>10</v>
      </c>
      <c r="G61" s="93">
        <v>8</v>
      </c>
      <c r="H61" s="93">
        <v>10</v>
      </c>
      <c r="I61" s="92">
        <v>8</v>
      </c>
      <c r="J61" s="93">
        <v>8</v>
      </c>
      <c r="K61" s="93">
        <v>10</v>
      </c>
      <c r="L61" s="93">
        <v>8</v>
      </c>
      <c r="M61" s="93">
        <v>8</v>
      </c>
      <c r="N61" s="93">
        <v>10</v>
      </c>
      <c r="O61" s="91">
        <f t="shared" si="16"/>
        <v>102</v>
      </c>
    </row>
    <row r="62" spans="1:15" x14ac:dyDescent="0.2">
      <c r="A62" s="58" t="s">
        <v>43</v>
      </c>
      <c r="C62" s="92">
        <v>0</v>
      </c>
      <c r="D62" s="92">
        <v>0</v>
      </c>
      <c r="E62" s="93">
        <v>0</v>
      </c>
      <c r="F62" s="93">
        <v>0</v>
      </c>
      <c r="G62" s="93">
        <v>0</v>
      </c>
      <c r="H62" s="93">
        <v>0</v>
      </c>
      <c r="I62" s="92">
        <v>0</v>
      </c>
      <c r="J62" s="93">
        <v>0</v>
      </c>
      <c r="K62" s="93">
        <v>0</v>
      </c>
      <c r="L62" s="93">
        <v>0</v>
      </c>
      <c r="M62" s="93">
        <v>0</v>
      </c>
      <c r="N62" s="93">
        <v>2</v>
      </c>
      <c r="O62" s="91">
        <f t="shared" si="16"/>
        <v>2</v>
      </c>
    </row>
    <row r="63" spans="1:15" x14ac:dyDescent="0.2">
      <c r="A63" s="58" t="s">
        <v>44</v>
      </c>
      <c r="C63" s="92">
        <v>18</v>
      </c>
      <c r="D63" s="92">
        <v>50</v>
      </c>
      <c r="E63" s="93">
        <v>50</v>
      </c>
      <c r="F63" s="93">
        <v>46</v>
      </c>
      <c r="G63" s="93">
        <v>38</v>
      </c>
      <c r="H63" s="93">
        <v>40</v>
      </c>
      <c r="I63" s="92">
        <v>58</v>
      </c>
      <c r="J63" s="93">
        <v>58</v>
      </c>
      <c r="K63" s="93">
        <v>44</v>
      </c>
      <c r="L63" s="93">
        <v>30</v>
      </c>
      <c r="M63" s="93">
        <v>44</v>
      </c>
      <c r="N63" s="93">
        <v>50</v>
      </c>
      <c r="O63" s="91">
        <f t="shared" si="16"/>
        <v>526</v>
      </c>
    </row>
    <row r="64" spans="1:15" x14ac:dyDescent="0.2">
      <c r="A64" s="58" t="s">
        <v>27</v>
      </c>
      <c r="C64" s="92">
        <v>0</v>
      </c>
      <c r="D64" s="92">
        <v>4</v>
      </c>
      <c r="E64" s="93">
        <v>8</v>
      </c>
      <c r="F64" s="93">
        <v>16</v>
      </c>
      <c r="G64" s="93">
        <v>16</v>
      </c>
      <c r="H64" s="93">
        <v>16</v>
      </c>
      <c r="I64" s="92">
        <v>20</v>
      </c>
      <c r="J64" s="93">
        <v>16</v>
      </c>
      <c r="K64" s="93">
        <v>16</v>
      </c>
      <c r="L64" s="93">
        <v>32</v>
      </c>
      <c r="M64" s="93">
        <v>34</v>
      </c>
      <c r="N64" s="93">
        <v>20</v>
      </c>
      <c r="O64" s="91">
        <f t="shared" si="16"/>
        <v>198</v>
      </c>
    </row>
    <row r="65" spans="1:15" x14ac:dyDescent="0.2">
      <c r="A65" s="58" t="s">
        <v>28</v>
      </c>
      <c r="C65" s="92">
        <v>0</v>
      </c>
      <c r="D65" s="92">
        <v>0</v>
      </c>
      <c r="E65" s="93">
        <v>0</v>
      </c>
      <c r="F65" s="93">
        <v>0</v>
      </c>
      <c r="G65" s="93">
        <v>0</v>
      </c>
      <c r="H65" s="93">
        <v>0</v>
      </c>
      <c r="I65" s="92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1">
        <f t="shared" si="16"/>
        <v>0</v>
      </c>
    </row>
    <row r="67" spans="1:15" x14ac:dyDescent="0.2">
      <c r="B67" s="17" t="s">
        <v>47</v>
      </c>
      <c r="C67" s="4" t="s">
        <v>49</v>
      </c>
      <c r="D67" s="20" t="s">
        <v>50</v>
      </c>
      <c r="E67" s="17" t="s">
        <v>51</v>
      </c>
      <c r="F67" s="17" t="s">
        <v>53</v>
      </c>
      <c r="G67" s="17" t="s">
        <v>54</v>
      </c>
      <c r="H67" s="17" t="s">
        <v>55</v>
      </c>
    </row>
    <row r="68" spans="1:15" x14ac:dyDescent="0.2">
      <c r="B68" s="2" t="s">
        <v>48</v>
      </c>
      <c r="C68" s="106">
        <v>43107</v>
      </c>
      <c r="D68" s="106">
        <v>43108</v>
      </c>
      <c r="E68" s="2" t="s">
        <v>52</v>
      </c>
      <c r="F68" s="49">
        <v>75100</v>
      </c>
      <c r="G68" s="2">
        <v>76</v>
      </c>
      <c r="H68" s="2">
        <v>76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7B30-6105-47D3-8019-9ACE16EE4968}">
  <dimension ref="A1:O68"/>
  <sheetViews>
    <sheetView tabSelected="1" topLeftCell="A28" workbookViewId="0">
      <selection activeCell="N65" sqref="N65"/>
    </sheetView>
  </sheetViews>
  <sheetFormatPr defaultColWidth="10" defaultRowHeight="14.25" x14ac:dyDescent="0.2"/>
  <cols>
    <col min="1" max="1" width="3.140625" style="49" customWidth="1"/>
    <col min="2" max="2" width="28.5703125" style="49" customWidth="1"/>
    <col min="3" max="3" width="12" style="64" customWidth="1"/>
    <col min="4" max="4" width="12" style="85" customWidth="1"/>
    <col min="5" max="8" width="12" style="49" customWidth="1"/>
    <col min="9" max="9" width="12" style="84" customWidth="1"/>
    <col min="10" max="14" width="12" style="49" customWidth="1"/>
    <col min="15" max="15" width="16.42578125" style="49" customWidth="1"/>
    <col min="16" max="16384" width="10" style="54"/>
  </cols>
  <sheetData>
    <row r="1" spans="1:15" ht="20.25" customHeight="1" x14ac:dyDescent="0.2">
      <c r="B1" s="105"/>
      <c r="C1" s="50">
        <v>43466</v>
      </c>
      <c r="D1" s="50">
        <v>43497</v>
      </c>
      <c r="E1" s="50">
        <v>43525</v>
      </c>
      <c r="F1" s="50">
        <v>43556</v>
      </c>
      <c r="G1" s="50">
        <v>43586</v>
      </c>
      <c r="H1" s="50">
        <v>43617</v>
      </c>
      <c r="I1" s="50">
        <v>43647</v>
      </c>
      <c r="J1" s="50">
        <v>43678</v>
      </c>
      <c r="K1" s="50">
        <v>43709</v>
      </c>
      <c r="L1" s="50">
        <v>43739</v>
      </c>
      <c r="M1" s="50">
        <v>43770</v>
      </c>
      <c r="N1" s="50">
        <v>43800</v>
      </c>
      <c r="O1" s="53" t="s">
        <v>16</v>
      </c>
    </row>
    <row r="2" spans="1:15" s="49" customFormat="1" ht="12.75" x14ac:dyDescent="0.2">
      <c r="A2" s="55" t="s">
        <v>4</v>
      </c>
      <c r="B2" s="55"/>
      <c r="C2" s="56">
        <f>SUM(C3,C5,C8)</f>
        <v>1995</v>
      </c>
      <c r="D2" s="56">
        <f t="shared" ref="D2:N2" si="0">SUM(D3,D5,D8)</f>
        <v>2017</v>
      </c>
      <c r="E2" s="56">
        <f t="shared" si="0"/>
        <v>2156</v>
      </c>
      <c r="F2" s="56">
        <f t="shared" si="0"/>
        <v>2043</v>
      </c>
      <c r="G2" s="56">
        <f t="shared" si="0"/>
        <v>2100</v>
      </c>
      <c r="H2" s="56">
        <f t="shared" si="0"/>
        <v>1860</v>
      </c>
      <c r="I2" s="56">
        <f t="shared" si="0"/>
        <v>2487</v>
      </c>
      <c r="J2" s="56">
        <f t="shared" si="0"/>
        <v>2211</v>
      </c>
      <c r="K2" s="56">
        <f t="shared" si="0"/>
        <v>2185</v>
      </c>
      <c r="L2" s="56">
        <f t="shared" si="0"/>
        <v>2192</v>
      </c>
      <c r="M2" s="56">
        <f t="shared" si="0"/>
        <v>2088</v>
      </c>
      <c r="N2" s="56">
        <f t="shared" si="0"/>
        <v>2228</v>
      </c>
      <c r="O2" s="57">
        <f>SUM(C2:N2)</f>
        <v>25562</v>
      </c>
    </row>
    <row r="3" spans="1:15" s="49" customFormat="1" ht="12.75" x14ac:dyDescent="0.2">
      <c r="A3" s="58" t="s">
        <v>5</v>
      </c>
      <c r="B3" s="58"/>
      <c r="C3" s="59">
        <v>1815</v>
      </c>
      <c r="D3" s="59">
        <v>1703</v>
      </c>
      <c r="E3" s="60">
        <v>2068</v>
      </c>
      <c r="F3" s="61">
        <v>1796</v>
      </c>
      <c r="G3" s="61">
        <v>2012</v>
      </c>
      <c r="H3" s="61">
        <v>1838</v>
      </c>
      <c r="I3" s="61">
        <v>2377</v>
      </c>
      <c r="J3" s="60">
        <v>2123</v>
      </c>
      <c r="K3" s="61">
        <v>1936</v>
      </c>
      <c r="L3" s="61">
        <v>2104</v>
      </c>
      <c r="M3" s="61">
        <v>1915</v>
      </c>
      <c r="N3" s="61">
        <v>2228</v>
      </c>
      <c r="O3" s="60">
        <f t="shared" ref="O3:O8" si="1">SUM(C3:N3)</f>
        <v>23915</v>
      </c>
    </row>
    <row r="4" spans="1:15" s="49" customFormat="1" ht="12.75" x14ac:dyDescent="0.2">
      <c r="B4" s="62" t="s">
        <v>10</v>
      </c>
      <c r="C4" s="64">
        <v>1815</v>
      </c>
      <c r="D4" s="64">
        <v>1703</v>
      </c>
      <c r="E4" s="65">
        <v>2068</v>
      </c>
      <c r="F4" s="66">
        <v>1796</v>
      </c>
      <c r="G4" s="66">
        <v>2012</v>
      </c>
      <c r="H4" s="66">
        <v>1838</v>
      </c>
      <c r="I4" s="66">
        <v>2377</v>
      </c>
      <c r="J4" s="65">
        <v>2123</v>
      </c>
      <c r="K4" s="66">
        <v>1936</v>
      </c>
      <c r="L4" s="66">
        <v>2104</v>
      </c>
      <c r="M4" s="66">
        <v>1915</v>
      </c>
      <c r="N4" s="66">
        <v>2228</v>
      </c>
      <c r="O4" s="60">
        <f t="shared" si="1"/>
        <v>23915</v>
      </c>
    </row>
    <row r="5" spans="1:15" s="49" customFormat="1" ht="12.75" x14ac:dyDescent="0.2">
      <c r="A5" s="58" t="s">
        <v>11</v>
      </c>
      <c r="B5" s="62"/>
      <c r="C5" s="59">
        <v>0</v>
      </c>
      <c r="D5" s="59">
        <v>138</v>
      </c>
      <c r="E5" s="60">
        <v>0</v>
      </c>
      <c r="F5" s="61">
        <v>137</v>
      </c>
      <c r="G5" s="61">
        <v>0</v>
      </c>
      <c r="H5" s="60">
        <v>0</v>
      </c>
      <c r="I5" s="60">
        <v>0</v>
      </c>
      <c r="J5" s="60">
        <v>0</v>
      </c>
      <c r="K5" s="61">
        <v>139</v>
      </c>
      <c r="L5" s="61">
        <v>0</v>
      </c>
      <c r="M5" s="61">
        <v>143</v>
      </c>
      <c r="N5" s="61">
        <v>0</v>
      </c>
      <c r="O5" s="67">
        <f t="shared" si="1"/>
        <v>557</v>
      </c>
    </row>
    <row r="6" spans="1:15" s="49" customFormat="1" ht="12.75" x14ac:dyDescent="0.2">
      <c r="B6" s="62" t="s">
        <v>12</v>
      </c>
      <c r="C6" s="64">
        <v>0</v>
      </c>
      <c r="D6" s="64">
        <v>0</v>
      </c>
      <c r="E6" s="65">
        <v>0</v>
      </c>
      <c r="F6" s="66">
        <v>0</v>
      </c>
      <c r="G6" s="66">
        <v>0</v>
      </c>
      <c r="H6" s="65">
        <v>0</v>
      </c>
      <c r="I6" s="65">
        <v>0</v>
      </c>
      <c r="J6" s="65">
        <v>0</v>
      </c>
      <c r="K6" s="66">
        <v>0</v>
      </c>
      <c r="L6" s="66">
        <v>0</v>
      </c>
      <c r="M6" s="66">
        <v>0</v>
      </c>
      <c r="N6" s="66">
        <v>0</v>
      </c>
      <c r="O6" s="67">
        <f t="shared" si="1"/>
        <v>0</v>
      </c>
    </row>
    <row r="7" spans="1:15" s="49" customFormat="1" ht="12.75" x14ac:dyDescent="0.2">
      <c r="B7" s="62" t="s">
        <v>36</v>
      </c>
      <c r="C7" s="64">
        <v>0</v>
      </c>
      <c r="D7" s="64">
        <v>138</v>
      </c>
      <c r="E7" s="65">
        <v>0</v>
      </c>
      <c r="F7" s="66">
        <v>137</v>
      </c>
      <c r="G7" s="66">
        <v>0</v>
      </c>
      <c r="H7" s="65">
        <v>0</v>
      </c>
      <c r="I7" s="65">
        <v>0</v>
      </c>
      <c r="J7" s="65">
        <v>0</v>
      </c>
      <c r="K7" s="66">
        <v>139</v>
      </c>
      <c r="L7" s="104">
        <v>0</v>
      </c>
      <c r="M7" s="104">
        <v>143</v>
      </c>
      <c r="N7" s="61">
        <v>0</v>
      </c>
      <c r="O7" s="67">
        <f t="shared" si="1"/>
        <v>557</v>
      </c>
    </row>
    <row r="8" spans="1:15" s="49" customFormat="1" ht="15.6" customHeight="1" x14ac:dyDescent="0.2">
      <c r="A8" s="17" t="s">
        <v>45</v>
      </c>
      <c r="B8" s="58"/>
      <c r="C8" s="59">
        <v>180</v>
      </c>
      <c r="D8" s="68">
        <v>176</v>
      </c>
      <c r="E8" s="60">
        <v>88</v>
      </c>
      <c r="F8" s="61">
        <v>110</v>
      </c>
      <c r="G8" s="61">
        <v>88</v>
      </c>
      <c r="H8" s="60">
        <v>22</v>
      </c>
      <c r="I8" s="60">
        <v>110</v>
      </c>
      <c r="J8" s="60">
        <v>88</v>
      </c>
      <c r="K8" s="103">
        <v>110</v>
      </c>
      <c r="L8" s="61">
        <v>88</v>
      </c>
      <c r="M8" s="61">
        <v>30</v>
      </c>
      <c r="N8" s="61">
        <v>0</v>
      </c>
      <c r="O8" s="67">
        <f t="shared" si="1"/>
        <v>1090</v>
      </c>
    </row>
    <row r="9" spans="1:15" s="49" customFormat="1" ht="15.6" customHeight="1" x14ac:dyDescent="0.2">
      <c r="A9" s="58"/>
      <c r="B9" s="58"/>
      <c r="C9" s="64"/>
      <c r="D9" s="69"/>
      <c r="E9" s="70"/>
      <c r="F9" s="71"/>
      <c r="G9" s="71"/>
      <c r="H9" s="72"/>
      <c r="I9" s="70"/>
      <c r="J9" s="73"/>
      <c r="K9" s="74"/>
      <c r="L9" s="71"/>
      <c r="M9" s="71"/>
      <c r="N9" s="71"/>
    </row>
    <row r="10" spans="1:15" s="49" customFormat="1" ht="12.75" x14ac:dyDescent="0.2">
      <c r="A10" s="55" t="s">
        <v>29</v>
      </c>
      <c r="B10" s="55"/>
      <c r="C10" s="56">
        <f>SUM(C11,C13,C16)</f>
        <v>1999</v>
      </c>
      <c r="D10" s="56">
        <f>SUM(D11,D13,D16)</f>
        <v>1990</v>
      </c>
      <c r="E10" s="75">
        <f t="shared" ref="E10:N10" si="2">SUM(E11,E13,E16)</f>
        <v>2089</v>
      </c>
      <c r="F10" s="75">
        <f t="shared" si="2"/>
        <v>2161</v>
      </c>
      <c r="G10" s="75">
        <f t="shared" si="2"/>
        <v>2087</v>
      </c>
      <c r="H10" s="75">
        <f t="shared" si="2"/>
        <v>1895</v>
      </c>
      <c r="I10" s="75">
        <f t="shared" si="2"/>
        <v>2465</v>
      </c>
      <c r="J10" s="75">
        <f t="shared" si="2"/>
        <v>2110</v>
      </c>
      <c r="K10" s="75">
        <f t="shared" si="2"/>
        <v>2234</v>
      </c>
      <c r="L10" s="75">
        <f t="shared" si="2"/>
        <v>2108</v>
      </c>
      <c r="M10" s="75">
        <f t="shared" si="2"/>
        <v>2033</v>
      </c>
      <c r="N10" s="75">
        <f t="shared" si="2"/>
        <v>2248</v>
      </c>
      <c r="O10" s="57">
        <f t="shared" ref="O10:O16" si="3">SUM(C10:N10)</f>
        <v>25419</v>
      </c>
    </row>
    <row r="11" spans="1:15" s="49" customFormat="1" ht="12.75" x14ac:dyDescent="0.2">
      <c r="A11" s="58" t="s">
        <v>5</v>
      </c>
      <c r="B11" s="58"/>
      <c r="C11" s="59">
        <v>1831</v>
      </c>
      <c r="D11" s="59">
        <v>1683</v>
      </c>
      <c r="E11" s="60">
        <v>2001</v>
      </c>
      <c r="F11" s="61">
        <v>1914</v>
      </c>
      <c r="G11" s="61">
        <v>1999</v>
      </c>
      <c r="H11" s="61">
        <v>1873</v>
      </c>
      <c r="I11" s="61">
        <v>2355</v>
      </c>
      <c r="J11" s="60">
        <v>2022</v>
      </c>
      <c r="K11" s="61">
        <v>1987</v>
      </c>
      <c r="L11" s="61">
        <v>2020</v>
      </c>
      <c r="M11" s="61">
        <v>1860</v>
      </c>
      <c r="N11" s="61">
        <v>2248</v>
      </c>
      <c r="O11" s="68">
        <f t="shared" si="3"/>
        <v>23793</v>
      </c>
    </row>
    <row r="12" spans="1:15" s="49" customFormat="1" ht="12.75" x14ac:dyDescent="0.2">
      <c r="B12" s="62" t="s">
        <v>10</v>
      </c>
      <c r="C12" s="64">
        <v>1831</v>
      </c>
      <c r="D12" s="64">
        <v>1683</v>
      </c>
      <c r="E12" s="65">
        <v>2001</v>
      </c>
      <c r="F12" s="66">
        <v>1914</v>
      </c>
      <c r="G12" s="66">
        <v>1999</v>
      </c>
      <c r="H12" s="66">
        <v>1873</v>
      </c>
      <c r="I12" s="66">
        <v>2355</v>
      </c>
      <c r="J12" s="65">
        <v>2022</v>
      </c>
      <c r="K12" s="66">
        <v>1987</v>
      </c>
      <c r="L12" s="66">
        <v>2020</v>
      </c>
      <c r="M12" s="66">
        <v>1860</v>
      </c>
      <c r="N12" s="66">
        <v>2248</v>
      </c>
      <c r="O12" s="68">
        <f t="shared" si="3"/>
        <v>23793</v>
      </c>
    </row>
    <row r="13" spans="1:15" s="49" customFormat="1" ht="12.75" x14ac:dyDescent="0.2">
      <c r="A13" s="58" t="s">
        <v>11</v>
      </c>
      <c r="B13" s="62"/>
      <c r="C13" s="59">
        <v>0</v>
      </c>
      <c r="D13" s="59">
        <v>137</v>
      </c>
      <c r="E13" s="60">
        <v>0</v>
      </c>
      <c r="F13" s="61">
        <v>137</v>
      </c>
      <c r="G13" s="61">
        <v>0</v>
      </c>
      <c r="H13" s="60">
        <v>0</v>
      </c>
      <c r="I13" s="60">
        <v>0</v>
      </c>
      <c r="J13" s="60">
        <v>0</v>
      </c>
      <c r="K13" s="61">
        <v>137</v>
      </c>
      <c r="L13" s="61">
        <v>0</v>
      </c>
      <c r="M13" s="61">
        <v>143</v>
      </c>
      <c r="N13" s="61">
        <v>0</v>
      </c>
      <c r="O13" s="68">
        <f t="shared" si="3"/>
        <v>554</v>
      </c>
    </row>
    <row r="14" spans="1:15" s="49" customFormat="1" ht="12.75" x14ac:dyDescent="0.2">
      <c r="B14" s="62" t="s">
        <v>12</v>
      </c>
      <c r="C14" s="64">
        <v>0</v>
      </c>
      <c r="D14" s="64">
        <v>0</v>
      </c>
      <c r="E14" s="65">
        <v>0</v>
      </c>
      <c r="F14" s="66">
        <v>0</v>
      </c>
      <c r="G14" s="66">
        <v>0</v>
      </c>
      <c r="H14" s="65">
        <v>0</v>
      </c>
      <c r="I14" s="65">
        <v>0</v>
      </c>
      <c r="J14" s="65">
        <v>0</v>
      </c>
      <c r="K14" s="66">
        <v>0</v>
      </c>
      <c r="L14" s="66">
        <v>0</v>
      </c>
      <c r="M14" s="66">
        <v>0</v>
      </c>
      <c r="N14" s="66">
        <v>0</v>
      </c>
      <c r="O14" s="68">
        <f t="shared" si="3"/>
        <v>0</v>
      </c>
    </row>
    <row r="15" spans="1:15" s="49" customFormat="1" ht="12.75" x14ac:dyDescent="0.2">
      <c r="B15" s="62" t="s">
        <v>36</v>
      </c>
      <c r="C15" s="64">
        <v>0</v>
      </c>
      <c r="D15" s="64">
        <v>137</v>
      </c>
      <c r="E15" s="65">
        <v>0</v>
      </c>
      <c r="F15" s="66">
        <v>137</v>
      </c>
      <c r="G15" s="66">
        <v>0</v>
      </c>
      <c r="H15" s="65">
        <v>0</v>
      </c>
      <c r="I15" s="65">
        <v>0</v>
      </c>
      <c r="J15" s="65">
        <v>0</v>
      </c>
      <c r="K15" s="66">
        <v>137</v>
      </c>
      <c r="L15" s="66">
        <v>0</v>
      </c>
      <c r="M15" s="104">
        <v>143</v>
      </c>
      <c r="N15" s="61">
        <v>0</v>
      </c>
      <c r="O15" s="68">
        <f t="shared" si="3"/>
        <v>554</v>
      </c>
    </row>
    <row r="16" spans="1:15" s="49" customFormat="1" ht="15.6" customHeight="1" x14ac:dyDescent="0.2">
      <c r="A16" s="17" t="s">
        <v>46</v>
      </c>
      <c r="B16" s="58"/>
      <c r="C16" s="59">
        <v>168</v>
      </c>
      <c r="D16" s="68">
        <v>170</v>
      </c>
      <c r="E16" s="60">
        <v>88</v>
      </c>
      <c r="F16" s="61">
        <v>110</v>
      </c>
      <c r="G16" s="61">
        <v>88</v>
      </c>
      <c r="H16" s="60">
        <v>22</v>
      </c>
      <c r="I16" s="60">
        <v>110</v>
      </c>
      <c r="J16" s="60">
        <v>88</v>
      </c>
      <c r="K16" s="60">
        <v>110</v>
      </c>
      <c r="L16" s="61">
        <v>88</v>
      </c>
      <c r="M16" s="61">
        <v>30</v>
      </c>
      <c r="N16" s="61">
        <v>0</v>
      </c>
      <c r="O16" s="68">
        <f t="shared" si="3"/>
        <v>1072</v>
      </c>
    </row>
    <row r="17" spans="1:15" s="49" customFormat="1" ht="15.6" customHeight="1" x14ac:dyDescent="0.2">
      <c r="A17" s="58"/>
      <c r="B17" s="58"/>
      <c r="C17" s="64"/>
      <c r="D17" s="69"/>
      <c r="E17" s="76"/>
      <c r="F17" s="69"/>
      <c r="G17" s="69"/>
      <c r="H17" s="77"/>
      <c r="I17" s="70"/>
      <c r="J17" s="62"/>
      <c r="K17" s="78"/>
    </row>
    <row r="18" spans="1:15" s="49" customFormat="1" ht="15.6" customHeight="1" x14ac:dyDescent="0.2">
      <c r="A18" s="55" t="s">
        <v>30</v>
      </c>
      <c r="B18" s="55"/>
      <c r="C18" s="56">
        <f t="shared" ref="C18:O18" si="4">SUM(C2,C10)</f>
        <v>3994</v>
      </c>
      <c r="D18" s="56">
        <f t="shared" si="4"/>
        <v>4007</v>
      </c>
      <c r="E18" s="56">
        <f t="shared" si="4"/>
        <v>4245</v>
      </c>
      <c r="F18" s="56">
        <f t="shared" si="4"/>
        <v>4204</v>
      </c>
      <c r="G18" s="56">
        <f t="shared" si="4"/>
        <v>4187</v>
      </c>
      <c r="H18" s="56">
        <f t="shared" si="4"/>
        <v>3755</v>
      </c>
      <c r="I18" s="79">
        <f t="shared" si="4"/>
        <v>4952</v>
      </c>
      <c r="J18" s="56">
        <f t="shared" si="4"/>
        <v>4321</v>
      </c>
      <c r="K18" s="56">
        <f t="shared" si="4"/>
        <v>4419</v>
      </c>
      <c r="L18" s="56">
        <f>SUM(L2,L10)</f>
        <v>4300</v>
      </c>
      <c r="M18" s="56">
        <f t="shared" si="4"/>
        <v>4121</v>
      </c>
      <c r="N18" s="56">
        <f t="shared" si="4"/>
        <v>4476</v>
      </c>
      <c r="O18" s="56">
        <f t="shared" si="4"/>
        <v>50981</v>
      </c>
    </row>
    <row r="19" spans="1:15" s="49" customFormat="1" ht="15.6" customHeight="1" x14ac:dyDescent="0.2">
      <c r="A19" s="58"/>
      <c r="B19" s="58"/>
      <c r="C19" s="64"/>
      <c r="D19" s="69"/>
      <c r="E19" s="77"/>
      <c r="F19" s="69"/>
      <c r="G19" s="69"/>
      <c r="H19" s="77"/>
      <c r="I19" s="80"/>
      <c r="J19" s="78"/>
      <c r="K19" s="78"/>
    </row>
    <row r="20" spans="1:15" s="49" customFormat="1" ht="15.6" customHeight="1" x14ac:dyDescent="0.2">
      <c r="A20" s="55" t="s">
        <v>13</v>
      </c>
      <c r="B20" s="55"/>
      <c r="C20" s="56">
        <f>SUM(C21:C22)</f>
        <v>6100</v>
      </c>
      <c r="D20" s="56">
        <f t="shared" ref="D20:N20" si="5">SUM(D21:D22)</f>
        <v>5800</v>
      </c>
      <c r="E20" s="56">
        <f t="shared" si="5"/>
        <v>5950</v>
      </c>
      <c r="F20" s="56">
        <f t="shared" si="5"/>
        <v>6100</v>
      </c>
      <c r="G20" s="56">
        <f t="shared" si="5"/>
        <v>6100</v>
      </c>
      <c r="H20" s="56">
        <f t="shared" si="5"/>
        <v>5500</v>
      </c>
      <c r="I20" s="79">
        <f t="shared" si="5"/>
        <v>6400</v>
      </c>
      <c r="J20" s="56">
        <f t="shared" si="5"/>
        <v>6100</v>
      </c>
      <c r="K20" s="56">
        <f t="shared" si="5"/>
        <v>6300</v>
      </c>
      <c r="L20" s="56">
        <f t="shared" si="5"/>
        <v>6000</v>
      </c>
      <c r="M20" s="56">
        <f t="shared" si="5"/>
        <v>6000</v>
      </c>
      <c r="N20" s="56">
        <f t="shared" si="5"/>
        <v>6100</v>
      </c>
      <c r="O20" s="56">
        <f>SUM(C20:N20)</f>
        <v>72450</v>
      </c>
    </row>
    <row r="21" spans="1:15" s="49" customFormat="1" ht="15.6" customHeight="1" x14ac:dyDescent="0.2">
      <c r="A21" s="58" t="s">
        <v>15</v>
      </c>
      <c r="B21" s="58"/>
      <c r="C21" s="59">
        <f>C30*50</f>
        <v>6100</v>
      </c>
      <c r="D21" s="59">
        <f t="shared" ref="D21:N21" si="6">D30*50</f>
        <v>5500</v>
      </c>
      <c r="E21" s="59">
        <f t="shared" si="6"/>
        <v>5950</v>
      </c>
      <c r="F21" s="59">
        <f t="shared" si="6"/>
        <v>5800</v>
      </c>
      <c r="G21" s="59">
        <f t="shared" si="6"/>
        <v>6100</v>
      </c>
      <c r="H21" s="59">
        <f t="shared" si="6"/>
        <v>5500</v>
      </c>
      <c r="I21" s="59">
        <f t="shared" si="6"/>
        <v>6400</v>
      </c>
      <c r="J21" s="59">
        <f t="shared" si="6"/>
        <v>6100</v>
      </c>
      <c r="K21" s="59">
        <f t="shared" si="6"/>
        <v>6000</v>
      </c>
      <c r="L21" s="59">
        <f t="shared" si="6"/>
        <v>6000</v>
      </c>
      <c r="M21" s="59">
        <f t="shared" si="6"/>
        <v>5700</v>
      </c>
      <c r="N21" s="59">
        <f t="shared" si="6"/>
        <v>6100</v>
      </c>
      <c r="O21" s="68">
        <f>SUM(C21:N21)</f>
        <v>71250</v>
      </c>
    </row>
    <row r="22" spans="1:15" s="49" customFormat="1" ht="15.6" customHeight="1" x14ac:dyDescent="0.2">
      <c r="A22" s="58" t="s">
        <v>11</v>
      </c>
      <c r="B22" s="58"/>
      <c r="C22" s="59">
        <v>0</v>
      </c>
      <c r="D22" s="68">
        <v>300</v>
      </c>
      <c r="E22" s="82">
        <v>0</v>
      </c>
      <c r="F22" s="68">
        <v>300</v>
      </c>
      <c r="G22" s="68">
        <v>0</v>
      </c>
      <c r="H22" s="82">
        <v>0</v>
      </c>
      <c r="I22" s="83">
        <v>0</v>
      </c>
      <c r="J22" s="81">
        <v>0</v>
      </c>
      <c r="K22" s="81">
        <v>300</v>
      </c>
      <c r="L22" s="81">
        <v>0</v>
      </c>
      <c r="M22" s="81">
        <v>300</v>
      </c>
      <c r="N22" s="81">
        <v>0</v>
      </c>
      <c r="O22" s="68">
        <f>SUM(C22:N22)</f>
        <v>1200</v>
      </c>
    </row>
    <row r="23" spans="1:15" s="49" customFormat="1" ht="15.6" customHeight="1" x14ac:dyDescent="0.2">
      <c r="A23" s="58"/>
      <c r="B23" s="58"/>
      <c r="C23" s="59"/>
      <c r="D23" s="68"/>
      <c r="E23" s="77"/>
      <c r="F23" s="68"/>
      <c r="G23" s="68"/>
      <c r="H23" s="77"/>
      <c r="I23" s="84"/>
      <c r="J23" s="85"/>
      <c r="K23" s="85"/>
      <c r="L23" s="85"/>
      <c r="M23" s="85"/>
      <c r="N23" s="85"/>
    </row>
    <row r="24" spans="1:15" s="49" customFormat="1" ht="15.6" customHeight="1" x14ac:dyDescent="0.2">
      <c r="A24" s="55" t="s">
        <v>14</v>
      </c>
      <c r="B24" s="55"/>
      <c r="C24" s="86">
        <f>SUM(C3,C5,C11,C13)/C20</f>
        <v>0.59770491803278691</v>
      </c>
      <c r="D24" s="86">
        <f>SUM(D3,D5,D11,D13)/D20</f>
        <v>0.63120689655172413</v>
      </c>
      <c r="E24" s="86">
        <f t="shared" ref="E24:O24" si="7">SUM(E3,E5,E11,E13)/E20</f>
        <v>0.68386554621848739</v>
      </c>
      <c r="F24" s="86">
        <f t="shared" si="7"/>
        <v>0.65311475409836062</v>
      </c>
      <c r="G24" s="86">
        <f t="shared" si="7"/>
        <v>0.65754098360655733</v>
      </c>
      <c r="H24" s="86">
        <f t="shared" si="7"/>
        <v>0.67472727272727273</v>
      </c>
      <c r="I24" s="86">
        <f t="shared" si="7"/>
        <v>0.739375</v>
      </c>
      <c r="J24" s="86">
        <f>SUM(J3,J5,J11,J13)/J20</f>
        <v>0.67950819672131146</v>
      </c>
      <c r="K24" s="86">
        <f t="shared" si="7"/>
        <v>0.66650793650793649</v>
      </c>
      <c r="L24" s="86">
        <f t="shared" si="7"/>
        <v>0.68733333333333335</v>
      </c>
      <c r="M24" s="86">
        <f t="shared" si="7"/>
        <v>0.67683333333333329</v>
      </c>
      <c r="N24" s="86">
        <f t="shared" si="7"/>
        <v>0.73377049180327869</v>
      </c>
      <c r="O24" s="86">
        <f t="shared" si="7"/>
        <v>0.67383022774327117</v>
      </c>
    </row>
    <row r="25" spans="1:15" s="49" customFormat="1" ht="15.6" customHeight="1" x14ac:dyDescent="0.2">
      <c r="A25" s="58" t="s">
        <v>15</v>
      </c>
      <c r="B25" s="58"/>
      <c r="C25" s="87">
        <f>(SUM(C3,C11)/C21)</f>
        <v>0.59770491803278691</v>
      </c>
      <c r="D25" s="87">
        <f t="shared" ref="D25:O25" si="8">(SUM(D3,D11)/D21)</f>
        <v>0.61563636363636365</v>
      </c>
      <c r="E25" s="87">
        <f t="shared" si="8"/>
        <v>0.68386554621848739</v>
      </c>
      <c r="F25" s="87">
        <f>(SUM(F3,F11)/F21)</f>
        <v>0.6396551724137931</v>
      </c>
      <c r="G25" s="87">
        <f>(SUM(G3,G11)/G21)</f>
        <v>0.65754098360655733</v>
      </c>
      <c r="H25" s="87">
        <f t="shared" si="8"/>
        <v>0.67472727272727273</v>
      </c>
      <c r="I25" s="87">
        <f t="shared" si="8"/>
        <v>0.739375</v>
      </c>
      <c r="J25" s="87">
        <f t="shared" si="8"/>
        <v>0.67950819672131146</v>
      </c>
      <c r="K25" s="87">
        <f t="shared" si="8"/>
        <v>0.65383333333333338</v>
      </c>
      <c r="L25" s="87">
        <f>(SUM(L3,L11)/L21)</f>
        <v>0.68733333333333335</v>
      </c>
      <c r="M25" s="87">
        <f t="shared" si="8"/>
        <v>0.66228070175438591</v>
      </c>
      <c r="N25" s="87">
        <f t="shared" si="8"/>
        <v>0.73377049180327869</v>
      </c>
      <c r="O25" s="77">
        <f t="shared" si="8"/>
        <v>0.66958596491228073</v>
      </c>
    </row>
    <row r="26" spans="1:15" s="49" customFormat="1" ht="15.6" customHeight="1" x14ac:dyDescent="0.2">
      <c r="A26" s="58" t="s">
        <v>11</v>
      </c>
      <c r="B26" s="58"/>
      <c r="C26" s="107" t="s">
        <v>33</v>
      </c>
      <c r="D26" s="87">
        <f>288/300</f>
        <v>0.96</v>
      </c>
      <c r="E26" s="107" t="s">
        <v>33</v>
      </c>
      <c r="F26" s="112">
        <f>274/300</f>
        <v>0.91333333333333333</v>
      </c>
      <c r="G26" s="116" t="s">
        <v>33</v>
      </c>
      <c r="H26" s="116" t="s">
        <v>33</v>
      </c>
      <c r="I26" s="107" t="s">
        <v>33</v>
      </c>
      <c r="J26" s="116" t="s">
        <v>33</v>
      </c>
      <c r="K26" s="112">
        <f>276/300</f>
        <v>0.92</v>
      </c>
      <c r="L26" s="116" t="s">
        <v>33</v>
      </c>
      <c r="M26" s="112">
        <f>286/300</f>
        <v>0.95333333333333337</v>
      </c>
      <c r="N26" s="26" t="s">
        <v>33</v>
      </c>
      <c r="O26" s="77">
        <f>(SUM(O13,O5)/O22)</f>
        <v>0.92583333333333329</v>
      </c>
    </row>
    <row r="27" spans="1:15" s="49" customFormat="1" ht="15.6" customHeight="1" x14ac:dyDescent="0.2">
      <c r="A27" s="58"/>
      <c r="B27" s="58"/>
      <c r="C27" s="59"/>
      <c r="D27" s="68"/>
      <c r="E27" s="77"/>
      <c r="F27" s="68"/>
      <c r="G27" s="68"/>
      <c r="H27" s="77"/>
      <c r="I27" s="84"/>
      <c r="J27" s="78"/>
      <c r="K27" s="78"/>
    </row>
    <row r="28" spans="1:15" x14ac:dyDescent="0.2">
      <c r="A28" s="55" t="s">
        <v>17</v>
      </c>
      <c r="B28" s="55"/>
      <c r="C28" s="89">
        <f>C30/C29</f>
        <v>0.9838709677419355</v>
      </c>
      <c r="D28" s="89">
        <f t="shared" ref="D28:O28" si="9">D30/D29</f>
        <v>0.99099099099099097</v>
      </c>
      <c r="E28" s="86">
        <f t="shared" si="9"/>
        <v>0.95967741935483875</v>
      </c>
      <c r="F28" s="86">
        <f t="shared" si="9"/>
        <v>0.96666666666666667</v>
      </c>
      <c r="G28" s="86">
        <f t="shared" si="9"/>
        <v>0.9838709677419355</v>
      </c>
      <c r="H28" s="86">
        <f t="shared" si="9"/>
        <v>0.91666666666666663</v>
      </c>
      <c r="I28" s="86">
        <f t="shared" si="9"/>
        <v>1</v>
      </c>
      <c r="J28" s="86">
        <f t="shared" si="9"/>
        <v>0.9838709677419355</v>
      </c>
      <c r="K28" s="86">
        <f t="shared" si="9"/>
        <v>1</v>
      </c>
      <c r="L28" s="86">
        <f t="shared" si="9"/>
        <v>0.967741935483871</v>
      </c>
      <c r="M28" s="86">
        <f t="shared" si="9"/>
        <v>0.95</v>
      </c>
      <c r="N28" s="86">
        <f t="shared" si="9"/>
        <v>0.93846153846153846</v>
      </c>
      <c r="O28" s="86">
        <f t="shared" si="9"/>
        <v>0.97004765146358063</v>
      </c>
    </row>
    <row r="29" spans="1:15" x14ac:dyDescent="0.2">
      <c r="A29" s="58" t="s">
        <v>21</v>
      </c>
      <c r="C29" s="64">
        <v>124</v>
      </c>
      <c r="D29" s="64">
        <v>111</v>
      </c>
      <c r="E29" s="69">
        <v>124</v>
      </c>
      <c r="F29" s="69">
        <v>120</v>
      </c>
      <c r="G29" s="69">
        <v>124</v>
      </c>
      <c r="H29" s="69">
        <v>120</v>
      </c>
      <c r="I29" s="64">
        <v>128</v>
      </c>
      <c r="J29" s="69">
        <v>124</v>
      </c>
      <c r="K29" s="69">
        <v>120</v>
      </c>
      <c r="L29" s="69">
        <v>124</v>
      </c>
      <c r="M29" s="69">
        <v>120</v>
      </c>
      <c r="N29" s="69">
        <v>130</v>
      </c>
      <c r="O29" s="68">
        <f>SUM(C29:N29)</f>
        <v>1469</v>
      </c>
    </row>
    <row r="30" spans="1:15" x14ac:dyDescent="0.2">
      <c r="A30" s="58" t="s">
        <v>22</v>
      </c>
      <c r="C30" s="64">
        <v>122</v>
      </c>
      <c r="D30" s="64">
        <v>110</v>
      </c>
      <c r="E30" s="69">
        <v>119</v>
      </c>
      <c r="F30" s="69">
        <v>116</v>
      </c>
      <c r="G30" s="69">
        <v>122</v>
      </c>
      <c r="H30" s="69">
        <v>110</v>
      </c>
      <c r="I30" s="64">
        <v>128</v>
      </c>
      <c r="J30" s="69">
        <v>122</v>
      </c>
      <c r="K30" s="69">
        <v>120</v>
      </c>
      <c r="L30" s="69">
        <v>120</v>
      </c>
      <c r="M30" s="69">
        <v>114</v>
      </c>
      <c r="N30" s="69">
        <v>122</v>
      </c>
      <c r="O30" s="68">
        <f>SUM(C30:N30)</f>
        <v>1425</v>
      </c>
    </row>
    <row r="31" spans="1:15" x14ac:dyDescent="0.2">
      <c r="D31" s="64"/>
      <c r="E31" s="69"/>
      <c r="F31" s="69"/>
      <c r="G31" s="69"/>
      <c r="H31" s="69"/>
      <c r="I31" s="64"/>
      <c r="J31" s="69"/>
      <c r="K31" s="69"/>
      <c r="L31" s="69"/>
      <c r="M31" s="69"/>
      <c r="N31" s="69"/>
      <c r="O31" s="69"/>
    </row>
    <row r="32" spans="1:15" s="49" customFormat="1" ht="15.6" customHeight="1" x14ac:dyDescent="0.2">
      <c r="A32" s="55" t="s">
        <v>32</v>
      </c>
      <c r="B32" s="55"/>
      <c r="C32" s="56">
        <f>SUM(C33:C39)</f>
        <v>99241</v>
      </c>
      <c r="D32" s="56">
        <f t="shared" ref="D32:N32" si="10">SUM(D33:D39)</f>
        <v>102849</v>
      </c>
      <c r="E32" s="56">
        <f t="shared" si="10"/>
        <v>98089</v>
      </c>
      <c r="F32" s="56">
        <f t="shared" si="10"/>
        <v>120672</v>
      </c>
      <c r="G32" s="56">
        <f t="shared" si="10"/>
        <v>128076</v>
      </c>
      <c r="H32" s="56">
        <f t="shared" si="10"/>
        <v>121606</v>
      </c>
      <c r="I32" s="56">
        <f t="shared" si="10"/>
        <v>124317</v>
      </c>
      <c r="J32" s="56">
        <f t="shared" si="10"/>
        <v>111005</v>
      </c>
      <c r="K32" s="56">
        <f t="shared" si="10"/>
        <v>112428</v>
      </c>
      <c r="L32" s="56">
        <f>SUM(L33:L39)</f>
        <v>120391</v>
      </c>
      <c r="M32" s="56">
        <f t="shared" si="10"/>
        <v>103361</v>
      </c>
      <c r="N32" s="56">
        <f t="shared" si="10"/>
        <v>90141</v>
      </c>
      <c r="O32" s="57">
        <f t="shared" ref="O32:O39" si="11">SUM(C32:N32)</f>
        <v>1332176</v>
      </c>
    </row>
    <row r="33" spans="1:15" s="49" customFormat="1" ht="15.6" customHeight="1" x14ac:dyDescent="0.2">
      <c r="A33" s="58" t="s">
        <v>18</v>
      </c>
      <c r="B33" s="58"/>
      <c r="C33" s="69">
        <v>38014</v>
      </c>
      <c r="D33" s="64">
        <v>38087</v>
      </c>
      <c r="E33" s="90">
        <v>40235</v>
      </c>
      <c r="F33" s="69">
        <v>50472</v>
      </c>
      <c r="G33" s="69">
        <v>63408</v>
      </c>
      <c r="H33" s="90">
        <v>56740</v>
      </c>
      <c r="I33" s="64">
        <v>56104</v>
      </c>
      <c r="J33" s="69">
        <v>55967</v>
      </c>
      <c r="K33" s="69">
        <v>48069</v>
      </c>
      <c r="L33" s="69">
        <f>51036+4786</f>
        <v>55822</v>
      </c>
      <c r="M33" s="69">
        <v>43440</v>
      </c>
      <c r="N33" s="69">
        <v>45705</v>
      </c>
      <c r="O33" s="68">
        <f t="shared" si="11"/>
        <v>592063</v>
      </c>
    </row>
    <row r="34" spans="1:15" s="49" customFormat="1" ht="15.6" customHeight="1" x14ac:dyDescent="0.2">
      <c r="A34" s="58" t="s">
        <v>37</v>
      </c>
      <c r="B34" s="58"/>
      <c r="C34" s="69">
        <v>0</v>
      </c>
      <c r="D34" s="64">
        <v>0</v>
      </c>
      <c r="E34" s="90">
        <v>0</v>
      </c>
      <c r="F34" s="69">
        <v>0</v>
      </c>
      <c r="G34" s="69">
        <v>685</v>
      </c>
      <c r="H34" s="90">
        <v>0</v>
      </c>
      <c r="I34" s="64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8">
        <f t="shared" si="11"/>
        <v>685</v>
      </c>
    </row>
    <row r="35" spans="1:15" s="49" customFormat="1" ht="15.6" customHeight="1" x14ac:dyDescent="0.2">
      <c r="A35" s="58" t="s">
        <v>39</v>
      </c>
      <c r="B35" s="58"/>
      <c r="C35" s="69">
        <f>6292+7252</f>
        <v>13544</v>
      </c>
      <c r="D35" s="64">
        <v>10850</v>
      </c>
      <c r="E35" s="90">
        <v>11849</v>
      </c>
      <c r="F35" s="69">
        <f>4125+8145</f>
        <v>12270</v>
      </c>
      <c r="G35" s="69">
        <v>11422</v>
      </c>
      <c r="H35" s="90">
        <v>23710</v>
      </c>
      <c r="I35" s="64">
        <v>19418</v>
      </c>
      <c r="J35" s="69">
        <v>5311</v>
      </c>
      <c r="K35" s="69">
        <v>22610</v>
      </c>
      <c r="L35" s="69">
        <f>10369+11182</f>
        <v>21551</v>
      </c>
      <c r="M35" s="69">
        <v>24332</v>
      </c>
      <c r="N35" s="69">
        <v>6557</v>
      </c>
      <c r="O35" s="68">
        <f t="shared" si="11"/>
        <v>183424</v>
      </c>
    </row>
    <row r="36" spans="1:15" s="49" customFormat="1" ht="15.6" customHeight="1" x14ac:dyDescent="0.2">
      <c r="A36" s="58" t="s">
        <v>42</v>
      </c>
      <c r="B36" s="58"/>
      <c r="C36" s="69">
        <v>0</v>
      </c>
      <c r="D36" s="64">
        <v>0</v>
      </c>
      <c r="E36" s="90">
        <v>0</v>
      </c>
      <c r="F36" s="69">
        <v>0</v>
      </c>
      <c r="G36" s="69">
        <v>0</v>
      </c>
      <c r="H36" s="90">
        <v>0</v>
      </c>
      <c r="I36" s="64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8">
        <f t="shared" si="11"/>
        <v>0</v>
      </c>
    </row>
    <row r="37" spans="1:15" s="49" customFormat="1" ht="13.9" customHeight="1" x14ac:dyDescent="0.2">
      <c r="A37" s="58" t="s">
        <v>19</v>
      </c>
      <c r="B37" s="58"/>
      <c r="C37" s="69">
        <f>36488+11195</f>
        <v>47683</v>
      </c>
      <c r="D37" s="64">
        <v>53912</v>
      </c>
      <c r="E37" s="90">
        <v>46005</v>
      </c>
      <c r="F37" s="69">
        <f>39602+18328</f>
        <v>57930</v>
      </c>
      <c r="G37" s="69">
        <v>52561</v>
      </c>
      <c r="H37" s="90">
        <v>41156</v>
      </c>
      <c r="I37" s="64">
        <v>48795</v>
      </c>
      <c r="J37" s="69">
        <v>49727</v>
      </c>
      <c r="K37" s="69">
        <v>41749</v>
      </c>
      <c r="L37" s="69">
        <v>43018</v>
      </c>
      <c r="M37" s="69">
        <v>35589</v>
      </c>
      <c r="N37" s="69">
        <v>37879</v>
      </c>
      <c r="O37" s="68">
        <f t="shared" si="11"/>
        <v>556004</v>
      </c>
    </row>
    <row r="38" spans="1:15" s="49" customFormat="1" ht="13.9" customHeight="1" x14ac:dyDescent="0.2">
      <c r="A38" s="58" t="s">
        <v>20</v>
      </c>
      <c r="B38" s="58"/>
      <c r="C38" s="69">
        <v>0</v>
      </c>
      <c r="D38" s="64">
        <v>0</v>
      </c>
      <c r="E38" s="90">
        <v>0</v>
      </c>
      <c r="F38" s="69">
        <v>0</v>
      </c>
      <c r="G38" s="69">
        <v>0</v>
      </c>
      <c r="H38" s="90">
        <v>0</v>
      </c>
      <c r="I38" s="64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8">
        <f t="shared" si="11"/>
        <v>0</v>
      </c>
    </row>
    <row r="39" spans="1:15" s="49" customFormat="1" ht="13.9" customHeight="1" x14ac:dyDescent="0.2">
      <c r="A39" s="58" t="s">
        <v>7</v>
      </c>
      <c r="B39" s="58"/>
      <c r="C39" s="69">
        <v>0</v>
      </c>
      <c r="D39" s="64">
        <v>0</v>
      </c>
      <c r="E39" s="90">
        <v>0</v>
      </c>
      <c r="F39" s="69">
        <v>0</v>
      </c>
      <c r="G39" s="69">
        <v>0</v>
      </c>
      <c r="H39" s="90">
        <v>0</v>
      </c>
      <c r="I39" s="64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8">
        <f t="shared" si="11"/>
        <v>0</v>
      </c>
    </row>
    <row r="40" spans="1:15" s="49" customFormat="1" ht="12.75" x14ac:dyDescent="0.2">
      <c r="A40" s="58"/>
      <c r="B40" s="58"/>
      <c r="C40" s="59"/>
      <c r="D40" s="68"/>
      <c r="E40" s="90"/>
      <c r="F40" s="68"/>
      <c r="G40" s="68"/>
      <c r="H40" s="67"/>
      <c r="I40" s="67"/>
      <c r="J40" s="67"/>
      <c r="K40" s="67"/>
      <c r="L40" s="67"/>
      <c r="M40" s="67"/>
      <c r="N40" s="67"/>
      <c r="O40" s="67"/>
    </row>
    <row r="41" spans="1:15" s="49" customFormat="1" ht="13.9" customHeight="1" x14ac:dyDescent="0.2">
      <c r="A41" s="108" t="s">
        <v>57</v>
      </c>
      <c r="B41" s="55"/>
      <c r="C41" s="56">
        <f t="shared" ref="C41:N41" si="12">SUM(C42:C52)</f>
        <v>4187293</v>
      </c>
      <c r="D41" s="56">
        <f t="shared" si="12"/>
        <v>4000503</v>
      </c>
      <c r="E41" s="56">
        <f>SUM(E42:E52)</f>
        <v>3947151</v>
      </c>
      <c r="F41" s="56">
        <f t="shared" si="12"/>
        <v>4098534</v>
      </c>
      <c r="G41" s="56">
        <f t="shared" si="12"/>
        <v>3921470</v>
      </c>
      <c r="H41" s="56">
        <f t="shared" si="12"/>
        <v>3363184</v>
      </c>
      <c r="I41" s="56">
        <f t="shared" si="12"/>
        <v>4099218</v>
      </c>
      <c r="J41" s="56">
        <f t="shared" si="12"/>
        <v>3962739</v>
      </c>
      <c r="K41" s="56">
        <f t="shared" si="12"/>
        <v>4069633</v>
      </c>
      <c r="L41" s="56">
        <f t="shared" si="12"/>
        <v>3833331</v>
      </c>
      <c r="M41" s="56">
        <f t="shared" si="12"/>
        <v>3579092</v>
      </c>
      <c r="N41" s="56">
        <f t="shared" si="12"/>
        <v>3617557</v>
      </c>
      <c r="O41" s="56">
        <f t="shared" ref="O41:O52" si="13">SUM(C41:N41)</f>
        <v>46679705</v>
      </c>
    </row>
    <row r="42" spans="1:15" s="49" customFormat="1" ht="13.9" customHeight="1" x14ac:dyDescent="0.2">
      <c r="A42" s="58" t="s">
        <v>23</v>
      </c>
      <c r="B42" s="58"/>
      <c r="C42" s="64">
        <v>2914000</v>
      </c>
      <c r="D42" s="69">
        <v>2585000</v>
      </c>
      <c r="E42" s="90">
        <v>2820000</v>
      </c>
      <c r="F42" s="69">
        <v>2726000</v>
      </c>
      <c r="G42" s="69">
        <v>2867000</v>
      </c>
      <c r="H42" s="90">
        <v>2585000</v>
      </c>
      <c r="I42" s="90">
        <v>3008000</v>
      </c>
      <c r="J42" s="90">
        <v>2867000</v>
      </c>
      <c r="K42" s="90">
        <v>2820000</v>
      </c>
      <c r="L42" s="90">
        <v>2820000</v>
      </c>
      <c r="M42" s="90">
        <v>2679000</v>
      </c>
      <c r="N42" s="90">
        <v>2867000</v>
      </c>
      <c r="O42" s="67">
        <f t="shared" si="13"/>
        <v>33558000</v>
      </c>
    </row>
    <row r="43" spans="1:15" s="49" customFormat="1" ht="13.9" customHeight="1" x14ac:dyDescent="0.2">
      <c r="A43" s="58" t="s">
        <v>36</v>
      </c>
      <c r="B43" s="58"/>
      <c r="C43" s="64">
        <v>0</v>
      </c>
      <c r="D43" s="69">
        <v>242000</v>
      </c>
      <c r="E43" s="90">
        <v>0</v>
      </c>
      <c r="F43" s="69">
        <v>242000</v>
      </c>
      <c r="G43" s="69">
        <v>0</v>
      </c>
      <c r="H43" s="90">
        <v>0</v>
      </c>
      <c r="I43" s="90">
        <v>0</v>
      </c>
      <c r="J43" s="90">
        <v>0</v>
      </c>
      <c r="K43" s="90">
        <v>248000</v>
      </c>
      <c r="L43" s="90">
        <v>0</v>
      </c>
      <c r="M43" s="90">
        <v>248000</v>
      </c>
      <c r="N43" s="90">
        <v>0</v>
      </c>
      <c r="O43" s="67">
        <f t="shared" si="13"/>
        <v>980000</v>
      </c>
    </row>
    <row r="44" spans="1:15" s="49" customFormat="1" ht="13.9" customHeight="1" x14ac:dyDescent="0.2">
      <c r="A44" s="58" t="s">
        <v>24</v>
      </c>
      <c r="B44" s="58"/>
      <c r="C44" s="64">
        <v>0</v>
      </c>
      <c r="D44" s="69">
        <v>0</v>
      </c>
      <c r="E44" s="90">
        <v>0</v>
      </c>
      <c r="F44" s="69">
        <v>0</v>
      </c>
      <c r="G44" s="69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67">
        <f t="shared" si="13"/>
        <v>0</v>
      </c>
    </row>
    <row r="45" spans="1:15" s="49" customFormat="1" ht="13.9" customHeight="1" x14ac:dyDescent="0.2">
      <c r="A45" s="58" t="s">
        <v>25</v>
      </c>
      <c r="B45" s="58"/>
      <c r="C45" s="64">
        <v>238000</v>
      </c>
      <c r="D45" s="69">
        <v>229500</v>
      </c>
      <c r="E45" s="90">
        <v>229500</v>
      </c>
      <c r="F45" s="69">
        <v>238000</v>
      </c>
      <c r="G45" s="69">
        <v>238000</v>
      </c>
      <c r="H45" s="90">
        <v>212500</v>
      </c>
      <c r="I45" s="90">
        <v>229500</v>
      </c>
      <c r="J45" s="90">
        <v>229500</v>
      </c>
      <c r="K45" s="90">
        <v>204000</v>
      </c>
      <c r="L45" s="90">
        <v>229500</v>
      </c>
      <c r="M45" s="90">
        <v>221000</v>
      </c>
      <c r="N45" s="90">
        <v>195500</v>
      </c>
      <c r="O45" s="67">
        <f t="shared" si="13"/>
        <v>2694500</v>
      </c>
    </row>
    <row r="46" spans="1:15" s="49" customFormat="1" ht="13.9" customHeight="1" x14ac:dyDescent="0.2">
      <c r="A46" s="58" t="s">
        <v>26</v>
      </c>
      <c r="B46" s="58"/>
      <c r="C46" s="64">
        <v>289100</v>
      </c>
      <c r="D46" s="69">
        <v>271500</v>
      </c>
      <c r="E46" s="90">
        <v>300900</v>
      </c>
      <c r="F46" s="69">
        <v>322900</v>
      </c>
      <c r="G46" s="69">
        <v>311900</v>
      </c>
      <c r="H46" s="90">
        <v>279100</v>
      </c>
      <c r="I46" s="90">
        <v>306700</v>
      </c>
      <c r="J46" s="90">
        <v>295600</v>
      </c>
      <c r="K46" s="90">
        <v>255000</v>
      </c>
      <c r="L46" s="90">
        <v>285100</v>
      </c>
      <c r="M46" s="90">
        <v>239500</v>
      </c>
      <c r="N46" s="90">
        <v>316300</v>
      </c>
      <c r="O46" s="67">
        <f t="shared" si="13"/>
        <v>3473600</v>
      </c>
    </row>
    <row r="47" spans="1:15" s="49" customFormat="1" ht="13.9" customHeight="1" x14ac:dyDescent="0.2">
      <c r="A47" s="58" t="s">
        <v>40</v>
      </c>
      <c r="B47" s="58"/>
      <c r="C47" s="64">
        <v>0</v>
      </c>
      <c r="D47" s="69">
        <v>0</v>
      </c>
      <c r="E47" s="90">
        <v>0</v>
      </c>
      <c r="F47" s="69">
        <v>0</v>
      </c>
      <c r="G47" s="69">
        <v>13000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67">
        <f t="shared" si="13"/>
        <v>13000</v>
      </c>
    </row>
    <row r="48" spans="1:15" s="49" customFormat="1" ht="13.9" customHeight="1" x14ac:dyDescent="0.2">
      <c r="A48" s="58" t="s">
        <v>38</v>
      </c>
      <c r="B48" s="58"/>
      <c r="C48" s="64">
        <v>59200</v>
      </c>
      <c r="D48" s="69">
        <v>64400</v>
      </c>
      <c r="E48" s="90">
        <v>80500</v>
      </c>
      <c r="F48" s="69">
        <v>80500</v>
      </c>
      <c r="G48" s="69">
        <v>59200</v>
      </c>
      <c r="H48" s="90">
        <v>64400</v>
      </c>
      <c r="I48" s="90">
        <v>59200</v>
      </c>
      <c r="J48" s="90">
        <v>64900</v>
      </c>
      <c r="K48" s="90">
        <v>80500</v>
      </c>
      <c r="L48" s="90">
        <v>64400</v>
      </c>
      <c r="M48" s="90">
        <v>80500</v>
      </c>
      <c r="N48" s="90">
        <v>70100</v>
      </c>
      <c r="O48" s="67">
        <f t="shared" si="13"/>
        <v>827800</v>
      </c>
    </row>
    <row r="49" spans="1:15" s="49" customFormat="1" ht="13.9" customHeight="1" x14ac:dyDescent="0.2">
      <c r="A49" s="58" t="s">
        <v>43</v>
      </c>
      <c r="B49" s="58"/>
      <c r="C49" s="64">
        <v>0</v>
      </c>
      <c r="D49" s="69">
        <v>0</v>
      </c>
      <c r="E49" s="90">
        <v>0</v>
      </c>
      <c r="F49" s="69">
        <v>0</v>
      </c>
      <c r="G49" s="69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67">
        <f t="shared" si="13"/>
        <v>0</v>
      </c>
    </row>
    <row r="50" spans="1:15" s="49" customFormat="1" ht="13.9" customHeight="1" x14ac:dyDescent="0.2">
      <c r="A50" s="58" t="s">
        <v>27</v>
      </c>
      <c r="B50" s="58"/>
      <c r="C50" s="64">
        <v>419126</v>
      </c>
      <c r="D50" s="69">
        <v>419604</v>
      </c>
      <c r="E50" s="90">
        <v>288068</v>
      </c>
      <c r="F50" s="69">
        <v>350240</v>
      </c>
      <c r="G50" s="69">
        <v>253792</v>
      </c>
      <c r="H50" s="90">
        <v>63448</v>
      </c>
      <c r="I50" s="90">
        <v>317240</v>
      </c>
      <c r="J50" s="90">
        <v>317240</v>
      </c>
      <c r="K50" s="90">
        <v>253792</v>
      </c>
      <c r="L50" s="90">
        <v>285516</v>
      </c>
      <c r="M50" s="90">
        <v>31724</v>
      </c>
      <c r="N50" s="90">
        <v>0</v>
      </c>
      <c r="O50" s="67">
        <f t="shared" si="13"/>
        <v>2999790</v>
      </c>
    </row>
    <row r="51" spans="1:15" s="49" customFormat="1" ht="13.9" customHeight="1" x14ac:dyDescent="0.2">
      <c r="A51" s="58" t="s">
        <v>44</v>
      </c>
      <c r="B51" s="58"/>
      <c r="C51" s="64">
        <v>267867</v>
      </c>
      <c r="D51" s="69">
        <v>188499</v>
      </c>
      <c r="E51" s="90">
        <v>228183</v>
      </c>
      <c r="F51" s="69">
        <v>138894</v>
      </c>
      <c r="G51" s="69">
        <v>178578</v>
      </c>
      <c r="H51" s="90">
        <v>158736</v>
      </c>
      <c r="I51" s="90">
        <v>178578</v>
      </c>
      <c r="J51" s="90">
        <v>188499</v>
      </c>
      <c r="K51" s="90">
        <v>208341</v>
      </c>
      <c r="L51" s="90">
        <v>148815</v>
      </c>
      <c r="M51" s="90">
        <v>79368</v>
      </c>
      <c r="N51" s="90">
        <v>168657</v>
      </c>
      <c r="O51" s="67">
        <f>SUM(C51:N51)</f>
        <v>2133015</v>
      </c>
    </row>
    <row r="52" spans="1:15" s="49" customFormat="1" ht="13.9" customHeight="1" x14ac:dyDescent="0.2">
      <c r="A52" s="58" t="s">
        <v>28</v>
      </c>
      <c r="B52" s="58"/>
      <c r="C52" s="64">
        <v>0</v>
      </c>
      <c r="D52" s="69">
        <v>0</v>
      </c>
      <c r="E52" s="90">
        <v>0</v>
      </c>
      <c r="F52" s="69">
        <v>0</v>
      </c>
      <c r="G52" s="69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67">
        <f t="shared" si="13"/>
        <v>0</v>
      </c>
    </row>
    <row r="53" spans="1:15" s="49" customFormat="1" ht="15" customHeight="1" x14ac:dyDescent="0.2">
      <c r="A53" s="63"/>
      <c r="B53" s="63"/>
      <c r="C53" s="59"/>
      <c r="D53" s="59"/>
      <c r="E53" s="90"/>
      <c r="F53" s="69"/>
      <c r="G53" s="68"/>
      <c r="H53" s="67"/>
      <c r="I53" s="67"/>
      <c r="J53" s="67"/>
      <c r="K53" s="90"/>
      <c r="L53" s="67"/>
      <c r="M53" s="67"/>
      <c r="N53" s="67"/>
      <c r="O53" s="67"/>
    </row>
    <row r="54" spans="1:15" x14ac:dyDescent="0.2">
      <c r="A54" s="55" t="s">
        <v>35</v>
      </c>
      <c r="B54" s="88"/>
      <c r="C54" s="56">
        <f>SUM(C55:C65)</f>
        <v>314</v>
      </c>
      <c r="D54" s="56">
        <f>SUM(D55:D65)</f>
        <v>289</v>
      </c>
      <c r="E54" s="56">
        <f>SUM(E55:E65)</f>
        <v>294</v>
      </c>
      <c r="F54" s="56">
        <f t="shared" ref="F54:O54" si="14">SUM(F55:F65)</f>
        <v>285</v>
      </c>
      <c r="G54" s="56">
        <f t="shared" si="14"/>
        <v>283</v>
      </c>
      <c r="H54" s="56">
        <f t="shared" si="14"/>
        <v>250</v>
      </c>
      <c r="I54" s="56">
        <f t="shared" si="14"/>
        <v>292</v>
      </c>
      <c r="J54" s="56">
        <f t="shared" si="14"/>
        <v>290</v>
      </c>
      <c r="K54" s="56">
        <f t="shared" si="14"/>
        <v>281</v>
      </c>
      <c r="L54" s="56">
        <f t="shared" si="14"/>
        <v>276</v>
      </c>
      <c r="M54" s="56">
        <f t="shared" si="14"/>
        <v>239</v>
      </c>
      <c r="N54" s="56">
        <f t="shared" si="14"/>
        <v>257</v>
      </c>
      <c r="O54" s="56">
        <f t="shared" si="14"/>
        <v>3350</v>
      </c>
    </row>
    <row r="55" spans="1:15" x14ac:dyDescent="0.2">
      <c r="A55" s="58" t="s">
        <v>23</v>
      </c>
      <c r="C55" s="64">
        <v>122</v>
      </c>
      <c r="D55" s="64">
        <v>111</v>
      </c>
      <c r="E55" s="64">
        <v>119</v>
      </c>
      <c r="F55" s="64">
        <v>118</v>
      </c>
      <c r="G55" s="64">
        <v>122</v>
      </c>
      <c r="H55" s="64">
        <v>115</v>
      </c>
      <c r="I55" s="64">
        <v>128</v>
      </c>
      <c r="J55" s="64">
        <v>122</v>
      </c>
      <c r="K55" s="64">
        <v>120</v>
      </c>
      <c r="L55" s="64">
        <v>120</v>
      </c>
      <c r="M55" s="64">
        <v>114</v>
      </c>
      <c r="N55" s="64">
        <v>122</v>
      </c>
      <c r="O55" s="91">
        <f t="shared" ref="O55:O65" si="15">SUM(C55:N55)</f>
        <v>1433</v>
      </c>
    </row>
    <row r="56" spans="1:15" x14ac:dyDescent="0.2">
      <c r="A56" s="58" t="s">
        <v>36</v>
      </c>
      <c r="C56" s="92">
        <v>0</v>
      </c>
      <c r="D56" s="92">
        <v>4</v>
      </c>
      <c r="E56" s="93">
        <v>0</v>
      </c>
      <c r="F56" s="93">
        <v>4</v>
      </c>
      <c r="G56" s="93">
        <v>0</v>
      </c>
      <c r="H56" s="93">
        <v>0</v>
      </c>
      <c r="I56" s="92">
        <v>0</v>
      </c>
      <c r="J56" s="93">
        <v>0</v>
      </c>
      <c r="K56" s="93">
        <v>4</v>
      </c>
      <c r="L56" s="93">
        <v>0</v>
      </c>
      <c r="M56" s="93">
        <v>4</v>
      </c>
      <c r="N56" s="93">
        <v>0</v>
      </c>
      <c r="O56" s="91">
        <f t="shared" si="15"/>
        <v>16</v>
      </c>
    </row>
    <row r="57" spans="1:15" x14ac:dyDescent="0.2">
      <c r="A57" s="58" t="s">
        <v>24</v>
      </c>
      <c r="C57" s="92">
        <v>0</v>
      </c>
      <c r="D57" s="92">
        <v>0</v>
      </c>
      <c r="E57" s="93">
        <v>0</v>
      </c>
      <c r="F57" s="93">
        <v>0</v>
      </c>
      <c r="G57" s="93">
        <v>0</v>
      </c>
      <c r="H57" s="93">
        <v>0</v>
      </c>
      <c r="I57" s="92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1">
        <f t="shared" si="15"/>
        <v>0</v>
      </c>
    </row>
    <row r="58" spans="1:15" x14ac:dyDescent="0.2">
      <c r="A58" s="58" t="s">
        <v>25</v>
      </c>
      <c r="C58" s="92">
        <v>56</v>
      </c>
      <c r="D58" s="92">
        <v>54</v>
      </c>
      <c r="E58" s="93">
        <v>54</v>
      </c>
      <c r="F58" s="93">
        <v>56</v>
      </c>
      <c r="G58" s="93">
        <v>56</v>
      </c>
      <c r="H58" s="93">
        <v>50</v>
      </c>
      <c r="I58" s="92">
        <v>54</v>
      </c>
      <c r="J58" s="93">
        <v>54</v>
      </c>
      <c r="K58" s="93">
        <v>48</v>
      </c>
      <c r="L58" s="93">
        <v>54</v>
      </c>
      <c r="M58" s="93">
        <v>52</v>
      </c>
      <c r="N58" s="93">
        <v>46</v>
      </c>
      <c r="O58" s="91">
        <f t="shared" si="15"/>
        <v>634</v>
      </c>
    </row>
    <row r="59" spans="1:15" x14ac:dyDescent="0.2">
      <c r="A59" s="58" t="s">
        <v>26</v>
      </c>
      <c r="C59" s="92">
        <v>44</v>
      </c>
      <c r="D59" s="92">
        <v>42</v>
      </c>
      <c r="E59" s="93">
        <v>43</v>
      </c>
      <c r="F59" s="93">
        <v>45</v>
      </c>
      <c r="G59" s="93">
        <v>43</v>
      </c>
      <c r="H59" s="93">
        <v>41</v>
      </c>
      <c r="I59" s="92">
        <v>46</v>
      </c>
      <c r="J59" s="93">
        <v>46</v>
      </c>
      <c r="K59" s="93">
        <v>41</v>
      </c>
      <c r="L59" s="93">
        <v>46</v>
      </c>
      <c r="M59" s="93">
        <v>41</v>
      </c>
      <c r="N59" s="93">
        <v>45</v>
      </c>
      <c r="O59" s="91">
        <f t="shared" si="15"/>
        <v>523</v>
      </c>
    </row>
    <row r="60" spans="1:15" x14ac:dyDescent="0.2">
      <c r="A60" s="58" t="s">
        <v>40</v>
      </c>
      <c r="C60" s="92">
        <v>0</v>
      </c>
      <c r="D60" s="92">
        <v>0</v>
      </c>
      <c r="E60" s="93">
        <v>0</v>
      </c>
      <c r="F60" s="93">
        <v>0</v>
      </c>
      <c r="G60" s="93">
        <v>2</v>
      </c>
      <c r="H60" s="93">
        <v>0</v>
      </c>
      <c r="I60" s="92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1">
        <f t="shared" si="15"/>
        <v>2</v>
      </c>
    </row>
    <row r="61" spans="1:15" x14ac:dyDescent="0.2">
      <c r="A61" s="58" t="s">
        <v>38</v>
      </c>
      <c r="C61" s="92">
        <v>8</v>
      </c>
      <c r="D61" s="92">
        <v>8</v>
      </c>
      <c r="E61" s="93">
        <v>10</v>
      </c>
      <c r="F61" s="93">
        <v>10</v>
      </c>
      <c r="G61" s="93">
        <v>8</v>
      </c>
      <c r="H61" s="93">
        <v>8</v>
      </c>
      <c r="I61" s="92">
        <v>8</v>
      </c>
      <c r="J61" s="93">
        <v>10</v>
      </c>
      <c r="K61" s="93">
        <v>10</v>
      </c>
      <c r="L61" s="93">
        <v>8</v>
      </c>
      <c r="M61" s="93">
        <v>10</v>
      </c>
      <c r="N61" s="93">
        <v>10</v>
      </c>
      <c r="O61" s="91">
        <f t="shared" si="15"/>
        <v>108</v>
      </c>
    </row>
    <row r="62" spans="1:15" x14ac:dyDescent="0.2">
      <c r="A62" s="58" t="s">
        <v>43</v>
      </c>
      <c r="C62" s="92">
        <v>0</v>
      </c>
      <c r="D62" s="92">
        <v>0</v>
      </c>
      <c r="E62" s="93">
        <v>0</v>
      </c>
      <c r="F62" s="93">
        <v>0</v>
      </c>
      <c r="G62" s="93">
        <v>0</v>
      </c>
      <c r="H62" s="93">
        <v>0</v>
      </c>
      <c r="I62" s="92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1">
        <f t="shared" si="15"/>
        <v>0</v>
      </c>
    </row>
    <row r="63" spans="1:15" x14ac:dyDescent="0.2">
      <c r="A63" s="58" t="s">
        <v>44</v>
      </c>
      <c r="C63" s="92">
        <v>54</v>
      </c>
      <c r="D63" s="92">
        <v>38</v>
      </c>
      <c r="E63" s="93">
        <v>46</v>
      </c>
      <c r="F63" s="93">
        <v>28</v>
      </c>
      <c r="G63" s="93">
        <v>36</v>
      </c>
      <c r="H63" s="93">
        <v>32</v>
      </c>
      <c r="I63" s="92">
        <v>36</v>
      </c>
      <c r="J63" s="93">
        <v>38</v>
      </c>
      <c r="K63" s="93">
        <v>42</v>
      </c>
      <c r="L63" s="93">
        <v>30</v>
      </c>
      <c r="M63" s="93">
        <v>16</v>
      </c>
      <c r="N63" s="93">
        <v>34</v>
      </c>
      <c r="O63" s="91">
        <f t="shared" si="15"/>
        <v>430</v>
      </c>
    </row>
    <row r="64" spans="1:15" x14ac:dyDescent="0.2">
      <c r="A64" s="58" t="s">
        <v>27</v>
      </c>
      <c r="C64" s="92">
        <v>30</v>
      </c>
      <c r="D64" s="92">
        <v>32</v>
      </c>
      <c r="E64" s="93">
        <v>22</v>
      </c>
      <c r="F64" s="93">
        <v>24</v>
      </c>
      <c r="G64" s="93">
        <v>16</v>
      </c>
      <c r="H64" s="93">
        <v>4</v>
      </c>
      <c r="I64" s="92">
        <v>20</v>
      </c>
      <c r="J64" s="93">
        <v>20</v>
      </c>
      <c r="K64" s="93">
        <v>16</v>
      </c>
      <c r="L64" s="93">
        <v>18</v>
      </c>
      <c r="M64" s="93">
        <v>2</v>
      </c>
      <c r="N64" s="93">
        <v>0</v>
      </c>
      <c r="O64" s="91">
        <f t="shared" si="15"/>
        <v>204</v>
      </c>
    </row>
    <row r="65" spans="1:15" x14ac:dyDescent="0.2">
      <c r="A65" s="58" t="s">
        <v>28</v>
      </c>
      <c r="C65" s="92">
        <v>0</v>
      </c>
      <c r="D65" s="92">
        <v>0</v>
      </c>
      <c r="E65" s="93">
        <v>0</v>
      </c>
      <c r="F65" s="93">
        <v>0</v>
      </c>
      <c r="G65" s="93">
        <v>0</v>
      </c>
      <c r="H65" s="93">
        <v>0</v>
      </c>
      <c r="I65" s="92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1">
        <f t="shared" si="15"/>
        <v>0</v>
      </c>
    </row>
    <row r="67" spans="1:15" x14ac:dyDescent="0.2">
      <c r="B67" s="17" t="s">
        <v>47</v>
      </c>
      <c r="C67" s="4" t="s">
        <v>49</v>
      </c>
      <c r="D67" s="20" t="s">
        <v>50</v>
      </c>
      <c r="E67" s="17" t="s">
        <v>51</v>
      </c>
      <c r="F67" s="17" t="s">
        <v>53</v>
      </c>
      <c r="G67" s="17" t="s">
        <v>54</v>
      </c>
      <c r="H67" s="17" t="s">
        <v>55</v>
      </c>
    </row>
    <row r="68" spans="1:15" x14ac:dyDescent="0.2">
      <c r="B68" s="2"/>
      <c r="C68" s="106"/>
      <c r="D68" s="106"/>
      <c r="E68" s="2"/>
      <c r="G68" s="2"/>
      <c r="H68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087D-7265-47AA-A8FC-A71B48C8BE7C}">
  <sheetPr>
    <pageSetUpPr fitToPage="1"/>
  </sheetPr>
  <dimension ref="A1:L52"/>
  <sheetViews>
    <sheetView topLeftCell="A13" zoomScaleNormal="100" workbookViewId="0">
      <selection activeCell="H13" sqref="H13 H19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58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27"/>
      <c r="B8" s="27"/>
      <c r="C8" s="27"/>
      <c r="D8" s="27"/>
      <c r="E8" s="27"/>
      <c r="F8" s="27"/>
      <c r="G8" s="27"/>
      <c r="H8" s="27"/>
      <c r="I8" s="27"/>
    </row>
    <row r="10" spans="1:12" ht="16.5" customHeight="1" x14ac:dyDescent="0.25">
      <c r="B10" s="136"/>
      <c r="C10" s="136"/>
      <c r="D10" s="132" t="s">
        <v>0</v>
      </c>
      <c r="E10" s="132"/>
      <c r="F10" s="31" t="s">
        <v>1</v>
      </c>
      <c r="G10" s="132" t="s">
        <v>2</v>
      </c>
      <c r="H10" s="132"/>
      <c r="I10" s="31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31" t="s">
        <v>3</v>
      </c>
      <c r="G11" s="48">
        <v>2019</v>
      </c>
      <c r="H11" s="48">
        <v>2018</v>
      </c>
      <c r="I11" s="31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2017</v>
      </c>
      <c r="E12" s="33">
        <f>SUM(E13,E15,E16)</f>
        <v>1357</v>
      </c>
      <c r="F12" s="34">
        <f>(D12/E12)-1</f>
        <v>0.48636698599852624</v>
      </c>
      <c r="G12" s="33">
        <f>SUM(G13,G15,G16)</f>
        <v>4012</v>
      </c>
      <c r="H12" s="33">
        <f>SUM(H13,H15,H16)</f>
        <v>2994</v>
      </c>
      <c r="I12" s="34">
        <f>(G12/H12)-1</f>
        <v>0.34001336005344029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Statistics'!D3</f>
        <v>1703</v>
      </c>
      <c r="E13" s="36">
        <f>'2018 Statistics'!D3</f>
        <v>1272</v>
      </c>
      <c r="F13" s="37">
        <f>(D13/E13)-1</f>
        <v>0.33883647798742134</v>
      </c>
      <c r="G13" s="36">
        <f>SUM('2019 Statistics'!C3:D3)</f>
        <v>3518</v>
      </c>
      <c r="H13" s="36">
        <f>SUM('2018 Statistics'!C3:D3)</f>
        <v>2701</v>
      </c>
      <c r="I13" s="37">
        <f>(G13/H13)-1</f>
        <v>0.30248056275453528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Statistics'!D4</f>
        <v>1703</v>
      </c>
      <c r="E14" s="3">
        <f>'2018 Statistics'!D4</f>
        <v>1272</v>
      </c>
      <c r="F14" s="29">
        <f>(D14/E14)-1</f>
        <v>0.33883647798742134</v>
      </c>
      <c r="G14" s="3">
        <f>SUM('2019 Statistics'!C4:D4)</f>
        <v>3518</v>
      </c>
      <c r="H14" s="47">
        <f>SUM('2018 Statistics'!C3:D3)</f>
        <v>2701</v>
      </c>
      <c r="I14" s="29">
        <f>(G14/H14)-1</f>
        <v>0.30248056275453528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Statistics'!D5</f>
        <v>138</v>
      </c>
      <c r="E15" s="36">
        <f>'2018 Statistics'!D5</f>
        <v>64</v>
      </c>
      <c r="F15" s="28">
        <f t="shared" ref="F15:F16" si="0">(D15/E15)-1</f>
        <v>1.15625</v>
      </c>
      <c r="G15" s="36">
        <f>SUM('2019 Statistics'!C5:D5)</f>
        <v>138</v>
      </c>
      <c r="H15" s="36">
        <f>SUM('2018 Statistics'!C5:D5)</f>
        <v>196</v>
      </c>
      <c r="I15" s="28">
        <f t="shared" ref="I15:I16" si="1">(G15/H15)-1</f>
        <v>-0.29591836734693877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Statistics'!D8</f>
        <v>176</v>
      </c>
      <c r="E16" s="36">
        <f>'2018 Statistics'!D8</f>
        <v>21</v>
      </c>
      <c r="F16" s="28">
        <f t="shared" si="0"/>
        <v>7.3809523809523814</v>
      </c>
      <c r="G16" s="36">
        <f>SUM('2019 Statistics'!C8:D8)</f>
        <v>356</v>
      </c>
      <c r="H16" s="36">
        <f>SUM('2018 Statistics'!C8:D8)</f>
        <v>97</v>
      </c>
      <c r="I16" s="28">
        <f t="shared" si="1"/>
        <v>2.670103092783505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1990</v>
      </c>
      <c r="E18" s="33">
        <f>SUM(E19,E21,E22)</f>
        <v>1394</v>
      </c>
      <c r="F18" s="34">
        <f>(D18/E18)-1</f>
        <v>0.42754662840746049</v>
      </c>
      <c r="G18" s="33">
        <f>SUM(G19,G21,G22)</f>
        <v>3989</v>
      </c>
      <c r="H18" s="33">
        <f>SUM(H19,H21,H22)</f>
        <v>2988</v>
      </c>
      <c r="I18" s="34">
        <f>(G18/H18)-1</f>
        <v>0.33500669344042833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Statistics'!D11</f>
        <v>1683</v>
      </c>
      <c r="E19" s="36">
        <f>'2018 Statistics'!D11</f>
        <v>1311</v>
      </c>
      <c r="F19" s="37">
        <f>(D19/E19)-1</f>
        <v>0.28375286041189929</v>
      </c>
      <c r="G19" s="36">
        <f>SUM('2019 Statistics'!C11:D11)</f>
        <v>3514</v>
      </c>
      <c r="H19" s="36">
        <f>SUM('2018 Statistics'!C11:D11)</f>
        <v>2697</v>
      </c>
      <c r="I19" s="37">
        <f>(G19/H19)-1</f>
        <v>0.30292918057100482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Statistics'!D12</f>
        <v>1683</v>
      </c>
      <c r="E20" s="3">
        <f>'2018 Statistics'!D12</f>
        <v>1311</v>
      </c>
      <c r="F20" s="29">
        <f>(D20/E20)-1</f>
        <v>0.28375286041189929</v>
      </c>
      <c r="G20" s="47">
        <f>SUM('2019 Statistics'!C12:D12)</f>
        <v>3514</v>
      </c>
      <c r="H20" s="47">
        <f>SUM('2018 Statistics'!C12:D12)</f>
        <v>2697</v>
      </c>
      <c r="I20" s="29">
        <f>(G20/H20)-1</f>
        <v>0.30292918057100482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Statistics'!D13</f>
        <v>137</v>
      </c>
      <c r="E21" s="36">
        <f>'2018 Statistics'!D13</f>
        <v>63</v>
      </c>
      <c r="F21" s="28">
        <f t="shared" ref="F21:F22" si="2">(D21/E21)-1</f>
        <v>1.1746031746031744</v>
      </c>
      <c r="G21" s="36">
        <f>SUM('2019 Statistics'!C13:D13)</f>
        <v>137</v>
      </c>
      <c r="H21" s="36">
        <f>SUM('2018 Statistics'!C13:D13)</f>
        <v>195</v>
      </c>
      <c r="I21" s="28">
        <f t="shared" ref="I21:I22" si="3">(G21/H21)-1</f>
        <v>-0.29743589743589749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Statistics'!D16</f>
        <v>170</v>
      </c>
      <c r="E22" s="36">
        <f>'2018 Statistics'!D16</f>
        <v>20</v>
      </c>
      <c r="F22" s="28">
        <f t="shared" si="2"/>
        <v>7.5</v>
      </c>
      <c r="G22" s="36">
        <f>SUM('2019 Statistics'!C16:D16)</f>
        <v>338</v>
      </c>
      <c r="H22" s="36">
        <f>SUM('2018 Statistics'!C16:D16)</f>
        <v>96</v>
      </c>
      <c r="I22" s="28">
        <f t="shared" si="3"/>
        <v>2.5208333333333335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4007</v>
      </c>
      <c r="E24" s="33">
        <f>SUM(E12,E18)</f>
        <v>2751</v>
      </c>
      <c r="F24" s="34">
        <f>(D24/E24)-1</f>
        <v>0.45656125045438012</v>
      </c>
      <c r="G24" s="33">
        <f>SUM(G18,G12)</f>
        <v>8001</v>
      </c>
      <c r="H24" s="33">
        <f>SUM(H18,H12)</f>
        <v>5982</v>
      </c>
      <c r="I24" s="34">
        <f>(G24/H24)-1</f>
        <v>0.3375125376128385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5800</v>
      </c>
      <c r="E26" s="41">
        <f>SUM(E27:E28)</f>
        <v>5500</v>
      </c>
      <c r="F26" s="42">
        <f>(D26/E26)-1</f>
        <v>5.4545454545454453E-2</v>
      </c>
      <c r="G26" s="41">
        <f>SUM(G27:G28)</f>
        <v>11900</v>
      </c>
      <c r="H26" s="41">
        <f>SUM(H27:H28)</f>
        <v>11450</v>
      </c>
      <c r="I26" s="42">
        <f>(G26/H26)-1</f>
        <v>3.9301310043668103E-2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Statistics'!D21</f>
        <v>5500</v>
      </c>
      <c r="E27" s="3">
        <f>'2018 Statistics'!D21</f>
        <v>5200</v>
      </c>
      <c r="F27" s="29">
        <f>(D27/E27)-1</f>
        <v>5.7692307692307709E-2</v>
      </c>
      <c r="G27" s="3">
        <f>SUM('2019 Statistics'!C21:D21)</f>
        <v>11600</v>
      </c>
      <c r="H27" s="3">
        <f>SUM('2018 Statistics'!C21:D21)</f>
        <v>10850</v>
      </c>
      <c r="I27" s="29">
        <f>(G27/H27)-1</f>
        <v>6.9124423963133674E-2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Statistics'!D22</f>
        <v>300</v>
      </c>
      <c r="E28" s="3">
        <f>'2018 Statistics'!D22</f>
        <v>300</v>
      </c>
      <c r="F28" s="26">
        <v>0</v>
      </c>
      <c r="G28" s="3">
        <f>SUM('2019 Statistics'!C22:D22)</f>
        <v>300</v>
      </c>
      <c r="H28" s="3">
        <f>SUM('2018 Statistics'!C22:D22)</f>
        <v>600</v>
      </c>
      <c r="I28" s="29">
        <f>(G28/H28)-1</f>
        <v>-0.5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'2018 Statistics'!C24</f>
        <v>0.51747899159663868</v>
      </c>
      <c r="E30" s="43">
        <f>'2017 Statistics'!C24</f>
        <v>0.47264150943396227</v>
      </c>
      <c r="F30" s="42">
        <f>D30-E30</f>
        <v>4.4837482162676412E-2</v>
      </c>
      <c r="G30" s="43">
        <f>(G24/G26)</f>
        <v>0.6723529411764706</v>
      </c>
      <c r="H30" s="43">
        <f>(H24/H26)</f>
        <v>0.52244541484716156</v>
      </c>
      <c r="I30" s="42">
        <f>G30-H30</f>
        <v>0.14990752632930904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0.61563636363636365</v>
      </c>
      <c r="E31" s="26">
        <f>'2018 Statistics'!D25</f>
        <v>0.49673076923076925</v>
      </c>
      <c r="F31" s="29">
        <f>D31-E31</f>
        <v>0.11890559440559439</v>
      </c>
      <c r="G31" s="26">
        <f>(SUM(G13,G19)/G27)</f>
        <v>0.60620689655172411</v>
      </c>
      <c r="H31" s="26">
        <f>(SUM(H13,H19)/H27)</f>
        <v>0.49751152073732718</v>
      </c>
      <c r="I31" s="109">
        <f>G31-H31</f>
        <v>0.10869537581439692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>
        <f>SUM(D15,D21)/D28</f>
        <v>0.91666666666666663</v>
      </c>
      <c r="E32" s="26">
        <f>'2018 Statistics'!D26</f>
        <v>0.96</v>
      </c>
      <c r="F32" s="29">
        <f>D32-E32</f>
        <v>-4.3333333333333335E-2</v>
      </c>
      <c r="G32" s="26">
        <f>SUM(G21,G15)/G28</f>
        <v>0.91666666666666663</v>
      </c>
      <c r="H32" s="26">
        <f>SUM(H21,H15)/H28</f>
        <v>0.65166666666666662</v>
      </c>
      <c r="I32" s="29">
        <f>G32-H32</f>
        <v>0.26500000000000001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Statistics'!D28</f>
        <v>0.99099099099099097</v>
      </c>
      <c r="E34" s="44">
        <f>'2018 Statistics'!D28</f>
        <v>1</v>
      </c>
      <c r="F34" s="42">
        <v>-0.01</v>
      </c>
      <c r="G34" s="45">
        <f>SUM('2019 Statistics'!C30:D30)/SUM('2019 Statistics'!C29:D29)</f>
        <v>0.98723404255319147</v>
      </c>
      <c r="H34" s="44">
        <f>SUM('2018 Statistics'!C30:D30)/SUM('2018 Statistics'!C29:D29)</f>
        <v>0.98636363636363633</v>
      </c>
      <c r="I34" s="42">
        <v>0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Statistics'!D32</f>
        <v>102849</v>
      </c>
      <c r="E36" s="33">
        <f>'2018 Statistics'!D32</f>
        <v>91339</v>
      </c>
      <c r="F36" s="42">
        <f>(D36/E36)-1</f>
        <v>0.12601407941843035</v>
      </c>
      <c r="G36" s="46">
        <f>SUM(G37:G43)</f>
        <v>202090</v>
      </c>
      <c r="H36" s="33">
        <f>SUM(H37:H43)</f>
        <v>194538</v>
      </c>
      <c r="I36" s="42">
        <f>(G36/H36)-1</f>
        <v>3.8820179090974571E-2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Statistics'!D33</f>
        <v>38087</v>
      </c>
      <c r="E37" s="96">
        <f>'2018 Statistics'!D33</f>
        <v>39391</v>
      </c>
      <c r="F37" s="98">
        <f>(D37/E37)-1</f>
        <v>-3.3104008529867279E-2</v>
      </c>
      <c r="G37" s="96">
        <f>SUM('2019 Statistics'!C33:D33)</f>
        <v>76101</v>
      </c>
      <c r="H37" s="96">
        <f>SUM('2018 Statistics'!C33:D33)</f>
        <v>84712</v>
      </c>
      <c r="I37" s="98">
        <f>(G37/H37)-1</f>
        <v>-0.10165029747851539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Statistics'!D34</f>
        <v>0</v>
      </c>
      <c r="E38" s="96">
        <f>'2018 Statistics'!D34</f>
        <v>0</v>
      </c>
      <c r="F38" s="109" t="s">
        <v>33</v>
      </c>
      <c r="G38" s="96">
        <f>SUM('2019 Statistics'!C34:D34)</f>
        <v>0</v>
      </c>
      <c r="H38" s="96">
        <f>SUM('2018 Statistics'!C34:D34)</f>
        <v>1982</v>
      </c>
      <c r="I38" s="98">
        <f t="shared" ref="I38:I41" si="4">(G38/H38)-1</f>
        <v>-1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Statistics'!D35</f>
        <v>10850</v>
      </c>
      <c r="E39" s="96">
        <f>'2018 Statistics'!D35</f>
        <v>8898</v>
      </c>
      <c r="F39" s="98">
        <f t="shared" ref="F39:F41" si="5">(D39/E39)-1</f>
        <v>0.21937514048100692</v>
      </c>
      <c r="G39" s="96">
        <f>SUM('2019 Statistics'!C35:D35)</f>
        <v>24394</v>
      </c>
      <c r="H39" s="96">
        <f>SUM('2018 Statistics'!C35:D35)</f>
        <v>10296</v>
      </c>
      <c r="I39" s="98">
        <f t="shared" si="4"/>
        <v>1.3692696192696192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Statistics'!D36</f>
        <v>0</v>
      </c>
      <c r="E40" s="96">
        <f>'2018 Statistics'!D36</f>
        <v>0</v>
      </c>
      <c r="F40" s="109" t="s">
        <v>33</v>
      </c>
      <c r="G40" s="96">
        <f>SUM('2019 Statistics'!C36:D36)</f>
        <v>0</v>
      </c>
      <c r="H40" s="96">
        <f>SUM('2018 Statistics'!C36:D36)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Statistics'!D37</f>
        <v>53912</v>
      </c>
      <c r="E41" s="96">
        <f>'2018 Statistics'!D37</f>
        <v>43050</v>
      </c>
      <c r="F41" s="98">
        <f t="shared" si="5"/>
        <v>0.25231126596980258</v>
      </c>
      <c r="G41" s="96">
        <f>SUM('2019 Statistics'!C37:D37)</f>
        <v>101595</v>
      </c>
      <c r="H41" s="96">
        <f>SUM('2018 Statistics'!C37:D37)</f>
        <v>97548</v>
      </c>
      <c r="I41" s="98">
        <f t="shared" si="4"/>
        <v>4.1487267806618267E-2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Statistics'!D38</f>
        <v>0</v>
      </c>
      <c r="E42" s="96">
        <f>'2018 Statistics'!D38</f>
        <v>0</v>
      </c>
      <c r="F42" s="109" t="s">
        <v>33</v>
      </c>
      <c r="G42" s="96">
        <f>SUM('2019 Statistics'!C38:D38)</f>
        <v>0</v>
      </c>
      <c r="H42" s="96">
        <f>SUM('2018 Statistics'!C38:D38)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Statistics'!D39</f>
        <v>0</v>
      </c>
      <c r="E43" s="96">
        <f>'2018 Statistics'!D39</f>
        <v>0</v>
      </c>
      <c r="F43" s="109" t="s">
        <v>33</v>
      </c>
      <c r="G43" s="96">
        <f>SUM('2019 Statistics'!C39:D39)</f>
        <v>0</v>
      </c>
      <c r="H43" s="96">
        <f>SUM('2018 Statistics'!C39:D39)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Statistics'!E41</f>
        <v>3947151</v>
      </c>
      <c r="E45" s="46">
        <f>'2018 Statistics'!E41</f>
        <v>3784921</v>
      </c>
      <c r="F45" s="42">
        <f>(D45/E45)-1</f>
        <v>4.2862189197607981E-2</v>
      </c>
      <c r="G45" s="46">
        <f>SUM('2019 Statistics'!C41:D41)</f>
        <v>8187796</v>
      </c>
      <c r="H45" s="46">
        <f>SUM('2018 Statistics'!C41:D41)</f>
        <v>7130762</v>
      </c>
      <c r="I45" s="42">
        <f>(G45/H45)-1</f>
        <v>0.1482357705950641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6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ABC8-2F49-4C91-B131-292D5D171698}">
  <sheetPr>
    <pageSetUpPr fitToPage="1"/>
  </sheetPr>
  <dimension ref="A1:L52"/>
  <sheetViews>
    <sheetView topLeftCell="A16" zoomScaleNormal="100" workbookViewId="0">
      <selection activeCell="H13" sqref="H13 H19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59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27"/>
      <c r="B8" s="27"/>
      <c r="C8" s="27"/>
      <c r="D8" s="27"/>
      <c r="E8" s="27"/>
      <c r="F8" s="27"/>
      <c r="G8" s="27"/>
      <c r="H8" s="27"/>
      <c r="I8" s="27"/>
    </row>
    <row r="10" spans="1:12" ht="16.5" customHeight="1" x14ac:dyDescent="0.25">
      <c r="B10" s="136"/>
      <c r="C10" s="136"/>
      <c r="D10" s="132" t="s">
        <v>0</v>
      </c>
      <c r="E10" s="132"/>
      <c r="F10" s="31" t="s">
        <v>1</v>
      </c>
      <c r="G10" s="132" t="s">
        <v>2</v>
      </c>
      <c r="H10" s="132"/>
      <c r="I10" s="31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31" t="s">
        <v>3</v>
      </c>
      <c r="G11" s="48">
        <v>2019</v>
      </c>
      <c r="H11" s="48">
        <v>2018</v>
      </c>
      <c r="I11" s="31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2156</v>
      </c>
      <c r="E12" s="33">
        <f>SUM(E13,E15,E16)</f>
        <v>1690</v>
      </c>
      <c r="F12" s="34">
        <f>(D12/E12)-1</f>
        <v>0.27573964497041414</v>
      </c>
      <c r="G12" s="33">
        <f>SUM(G13,G15,G16)</f>
        <v>6168</v>
      </c>
      <c r="H12" s="33">
        <f>SUM(H13,H15,H16)</f>
        <v>4684</v>
      </c>
      <c r="I12" s="34">
        <f>(G12/H12)-1</f>
        <v>0.31682322801024765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Statistics'!E3</f>
        <v>2068</v>
      </c>
      <c r="E13" s="36">
        <f>'2018 Statistics'!E3</f>
        <v>1525</v>
      </c>
      <c r="F13" s="37">
        <f>(D13/E13)-1</f>
        <v>0.35606557377049186</v>
      </c>
      <c r="G13" s="36">
        <f>SUM('2019 Statistics'!C3:E3)</f>
        <v>5586</v>
      </c>
      <c r="H13" s="36">
        <f>SUM('2018 Statistics'!C3:E3)</f>
        <v>4226</v>
      </c>
      <c r="I13" s="37">
        <f>(G13/H13)-1</f>
        <v>0.32181732134406049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Statistics'!E4</f>
        <v>2068</v>
      </c>
      <c r="E14" s="3">
        <f>'2018 Statistics'!E4</f>
        <v>1525</v>
      </c>
      <c r="F14" s="29">
        <f>(D14/E14)-1</f>
        <v>0.35606557377049186</v>
      </c>
      <c r="G14" s="3">
        <f>SUM('2019 Statistics'!C4:E4)</f>
        <v>5586</v>
      </c>
      <c r="H14" s="47">
        <f>SUM('2018 Statistics'!C3:E3)</f>
        <v>4226</v>
      </c>
      <c r="I14" s="29">
        <f>(G14/H14)-1</f>
        <v>0.32181732134406049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Statistics'!E5</f>
        <v>0</v>
      </c>
      <c r="E15" s="36">
        <f>'2018 Statistics'!E5</f>
        <v>114</v>
      </c>
      <c r="F15" s="28">
        <f t="shared" ref="F15:F16" si="0">(D15/E15)-1</f>
        <v>-1</v>
      </c>
      <c r="G15" s="36">
        <f>SUM('2019 Statistics'!C5:E5)</f>
        <v>138</v>
      </c>
      <c r="H15" s="36">
        <f>SUM('2018 Statistics'!C5:E5)</f>
        <v>310</v>
      </c>
      <c r="I15" s="28">
        <f t="shared" ref="I15:I16" si="1">(G15/H15)-1</f>
        <v>-0.55483870967741933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Statistics'!E8</f>
        <v>88</v>
      </c>
      <c r="E16" s="36">
        <f>'2018 Statistics'!E8</f>
        <v>51</v>
      </c>
      <c r="F16" s="28">
        <f t="shared" si="0"/>
        <v>0.72549019607843146</v>
      </c>
      <c r="G16" s="36">
        <f>SUM('2019 Statistics'!C8:E8)</f>
        <v>444</v>
      </c>
      <c r="H16" s="36">
        <f>SUM('2018 Statistics'!C8:E8)</f>
        <v>148</v>
      </c>
      <c r="I16" s="28">
        <f t="shared" si="1"/>
        <v>2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2089</v>
      </c>
      <c r="E18" s="33">
        <f>SUM(E19,E21,E22)</f>
        <v>1546</v>
      </c>
      <c r="F18" s="34">
        <f>(D18/E18)-1</f>
        <v>0.35122897800776198</v>
      </c>
      <c r="G18" s="33">
        <f>SUM(G19,G21,G22)</f>
        <v>6078</v>
      </c>
      <c r="H18" s="33">
        <f>SUM(H19,H21,H22)</f>
        <v>4534</v>
      </c>
      <c r="I18" s="34">
        <f>(G18/H18)-1</f>
        <v>0.3405381561535068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Statistics'!E11</f>
        <v>2001</v>
      </c>
      <c r="E19" s="36">
        <f>'2018 Statistics'!E11</f>
        <v>1388</v>
      </c>
      <c r="F19" s="37">
        <f>(D19/E19)-1</f>
        <v>0.44164265129682989</v>
      </c>
      <c r="G19" s="36">
        <f>SUM('2019 Statistics'!C11:E11)</f>
        <v>5515</v>
      </c>
      <c r="H19" s="36">
        <f>SUM('2018 Statistics'!C11:E11)</f>
        <v>4085</v>
      </c>
      <c r="I19" s="37">
        <f>(G19/H19)-1</f>
        <v>0.35006119951040393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Statistics'!E12</f>
        <v>2001</v>
      </c>
      <c r="E20" s="3">
        <f>'2018 Statistics'!E12</f>
        <v>1388</v>
      </c>
      <c r="F20" s="29">
        <f>(D20/E20)-1</f>
        <v>0.44164265129682989</v>
      </c>
      <c r="G20" s="47">
        <f>SUM('2019 Statistics'!C12:E12)</f>
        <v>5515</v>
      </c>
      <c r="H20" s="47">
        <f>SUM('2018 Statistics'!C12:E12)</f>
        <v>4085</v>
      </c>
      <c r="I20" s="29">
        <f>(G20/H20)-1</f>
        <v>0.35006119951040393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Statistics'!E13</f>
        <v>0</v>
      </c>
      <c r="E21" s="36">
        <f>'2018 Statistics'!E13</f>
        <v>114</v>
      </c>
      <c r="F21" s="28">
        <f t="shared" ref="F21:F22" si="2">(D21/E21)-1</f>
        <v>-1</v>
      </c>
      <c r="G21" s="36">
        <f>SUM('2019 Statistics'!C13:E13)</f>
        <v>137</v>
      </c>
      <c r="H21" s="36">
        <f>SUM('2018 Statistics'!C13:E13)</f>
        <v>309</v>
      </c>
      <c r="I21" s="28">
        <f t="shared" ref="I21:I22" si="3">(G21/H21)-1</f>
        <v>-0.55663430420711979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Statistics'!E16</f>
        <v>88</v>
      </c>
      <c r="E22" s="36">
        <f>'2018 Statistics'!E16</f>
        <v>44</v>
      </c>
      <c r="F22" s="28">
        <f t="shared" si="2"/>
        <v>1</v>
      </c>
      <c r="G22" s="36">
        <f>SUM('2019 Statistics'!C16:E16)</f>
        <v>426</v>
      </c>
      <c r="H22" s="36">
        <f>SUM('2018 Statistics'!C16:E16)</f>
        <v>140</v>
      </c>
      <c r="I22" s="28">
        <f t="shared" si="3"/>
        <v>2.0428571428571427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4245</v>
      </c>
      <c r="E24" s="33">
        <f>SUM(E12,E18)</f>
        <v>3236</v>
      </c>
      <c r="F24" s="34">
        <f>(D24/E24)-1</f>
        <v>0.31180469715698389</v>
      </c>
      <c r="G24" s="33">
        <f>SUM(G18,G12)</f>
        <v>12246</v>
      </c>
      <c r="H24" s="33">
        <f>SUM(H18,H12)</f>
        <v>9218</v>
      </c>
      <c r="I24" s="34">
        <f>(G24/H24)-1</f>
        <v>0.32848774137556958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5950</v>
      </c>
      <c r="E26" s="41">
        <f>SUM(E27:E28)</f>
        <v>5800</v>
      </c>
      <c r="F26" s="42">
        <f>(D26/E26)-1</f>
        <v>2.5862068965517349E-2</v>
      </c>
      <c r="G26" s="41">
        <f>SUM(G27:G28)</f>
        <v>17850</v>
      </c>
      <c r="H26" s="41">
        <f>SUM(H27:H28)</f>
        <v>17250</v>
      </c>
      <c r="I26" s="42">
        <f>(G26/H26)-1</f>
        <v>3.4782608695652195E-2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Statistics'!E21</f>
        <v>5950</v>
      </c>
      <c r="E27" s="3">
        <f>'2018 Statistics'!E21</f>
        <v>5500</v>
      </c>
      <c r="F27" s="29">
        <f>(D27/E27)-1</f>
        <v>8.181818181818179E-2</v>
      </c>
      <c r="G27" s="3">
        <f>SUM('2019 Statistics'!C21:E21)</f>
        <v>17550</v>
      </c>
      <c r="H27" s="3">
        <f>SUM('2018 Statistics'!C21:E21)</f>
        <v>16350</v>
      </c>
      <c r="I27" s="29">
        <f>(G27/H27)-1</f>
        <v>7.3394495412844041E-2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Statistics'!E22</f>
        <v>0</v>
      </c>
      <c r="E28" s="3">
        <f>'2018 Statistics'!E22</f>
        <v>300</v>
      </c>
      <c r="F28" s="26">
        <v>0</v>
      </c>
      <c r="G28" s="3">
        <f>SUM('2019 Statistics'!C22:E22)</f>
        <v>300</v>
      </c>
      <c r="H28" s="3">
        <f>SUM('2018 Statistics'!C22:E22)</f>
        <v>900</v>
      </c>
      <c r="I28" s="29">
        <f>(G28/H28)-1</f>
        <v>-0.66666666666666674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'2018 Statistics'!C24</f>
        <v>0.51747899159663868</v>
      </c>
      <c r="E30" s="43">
        <f>'2017 Statistics'!C24</f>
        <v>0.47264150943396227</v>
      </c>
      <c r="F30" s="42">
        <f>D30-E30</f>
        <v>4.4837482162676412E-2</v>
      </c>
      <c r="G30" s="43">
        <f>G24/G26</f>
        <v>0.68605042016806728</v>
      </c>
      <c r="H30" s="43">
        <f>(H24/H26)</f>
        <v>0.53437681159420292</v>
      </c>
      <c r="I30" s="42">
        <f>G30-H30</f>
        <v>0.15167360857386436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0.68386554621848739</v>
      </c>
      <c r="E31" s="26">
        <f>'2018 Statistics'!E25</f>
        <v>0.52963636363636368</v>
      </c>
      <c r="F31" s="29">
        <f>D31-E31</f>
        <v>0.1542291825821237</v>
      </c>
      <c r="G31" s="26">
        <f>(SUM(G13,G19)/G27)</f>
        <v>0.63253561253561252</v>
      </c>
      <c r="H31" s="26">
        <f>(SUM(H13,H19)/H27)</f>
        <v>0.50831804281345561</v>
      </c>
      <c r="I31" s="109">
        <f>G31-H31</f>
        <v>0.12421756972215692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 t="e">
        <f>SUM(D15,D21)/D28</f>
        <v>#DIV/0!</v>
      </c>
      <c r="E32" s="26">
        <f>'2018 Statistics'!E26</f>
        <v>0.76</v>
      </c>
      <c r="F32" s="29" t="e">
        <f>D32-E32</f>
        <v>#DIV/0!</v>
      </c>
      <c r="G32" s="26">
        <f>SUM(G21,G15)/G28</f>
        <v>0.91666666666666663</v>
      </c>
      <c r="H32" s="26">
        <f>SUM(H21,H15)/H28</f>
        <v>0.68777777777777782</v>
      </c>
      <c r="I32" s="29">
        <f>G32-H32</f>
        <v>0.22888888888888881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Statistics'!E28</f>
        <v>0.95967741935483875</v>
      </c>
      <c r="E34" s="44">
        <f>'2018 Statistics'!E28</f>
        <v>0.96491228070175439</v>
      </c>
      <c r="F34" s="42">
        <v>-0.01</v>
      </c>
      <c r="G34" s="45">
        <f>SUM('2019 Statistics'!C30:E30)/SUM('2019 Statistics'!C29:E29)</f>
        <v>0.97771587743732591</v>
      </c>
      <c r="H34" s="44">
        <f>SUM('2018 Statistics'!C30:E30)/SUM('2018 Statistics'!C29:E29)</f>
        <v>0.97904191616766467</v>
      </c>
      <c r="I34" s="42">
        <v>0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Statistics'!E32</f>
        <v>98089</v>
      </c>
      <c r="E36" s="33">
        <f>'2018 Statistics'!E32</f>
        <v>94863</v>
      </c>
      <c r="F36" s="42">
        <f>(D36/E36)-1</f>
        <v>3.4006936318691228E-2</v>
      </c>
      <c r="G36" s="46">
        <f>SUM(G37:G43)</f>
        <v>300179</v>
      </c>
      <c r="H36" s="33">
        <f>SUM(H37:H43)</f>
        <v>289401</v>
      </c>
      <c r="I36" s="42">
        <f>(G36/H36)-1</f>
        <v>3.7242442147746635E-2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Statistics'!E33</f>
        <v>40235</v>
      </c>
      <c r="E37" s="96">
        <f>'2018 Statistics'!E33</f>
        <v>40859</v>
      </c>
      <c r="F37" s="98">
        <f>(D37/E37)-1</f>
        <v>-1.5272033089405057E-2</v>
      </c>
      <c r="G37" s="96">
        <f>SUM('2019 Statistics'!C33:E33)</f>
        <v>116336</v>
      </c>
      <c r="H37" s="96">
        <f>SUM('2018 Statistics'!C33:E33)</f>
        <v>125571</v>
      </c>
      <c r="I37" s="98">
        <f>(G37/H37)-1</f>
        <v>-7.354405077605497E-2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Statistics'!E34</f>
        <v>0</v>
      </c>
      <c r="E38" s="96">
        <f>'2018 Statistics'!E34</f>
        <v>0</v>
      </c>
      <c r="F38" s="109" t="s">
        <v>33</v>
      </c>
      <c r="G38" s="96">
        <f>SUM('2019 Statistics'!C34:E34)</f>
        <v>0</v>
      </c>
      <c r="H38" s="96">
        <f>SUM('2018 Statistics'!C34:E34)</f>
        <v>1982</v>
      </c>
      <c r="I38" s="98">
        <f t="shared" ref="I38:I41" si="4">(G38/H38)-1</f>
        <v>-1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Statistics'!E35</f>
        <v>11849</v>
      </c>
      <c r="E39" s="96">
        <f>'2018 Statistics'!E35</f>
        <v>13295</v>
      </c>
      <c r="F39" s="98">
        <f t="shared" ref="F39:F41" si="5">(D39/E39)-1</f>
        <v>-0.10876269274163219</v>
      </c>
      <c r="G39" s="96">
        <f>SUM('2019 Statistics'!C35:E35)</f>
        <v>36243</v>
      </c>
      <c r="H39" s="96">
        <f>SUM('2018 Statistics'!C35:E35)</f>
        <v>23591</v>
      </c>
      <c r="I39" s="98">
        <f t="shared" si="4"/>
        <v>0.53630621847314663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Statistics'!E36</f>
        <v>0</v>
      </c>
      <c r="E40" s="96">
        <f>'2018 Statistics'!E36</f>
        <v>0</v>
      </c>
      <c r="F40" s="109" t="s">
        <v>33</v>
      </c>
      <c r="G40" s="96">
        <f>SUM('2019 Statistics'!C36:E36)</f>
        <v>0</v>
      </c>
      <c r="H40" s="96">
        <f>SUM('2018 Statistics'!C36:E36)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Statistics'!E37</f>
        <v>46005</v>
      </c>
      <c r="E41" s="96">
        <f>'2018 Statistics'!E37</f>
        <v>40709</v>
      </c>
      <c r="F41" s="98">
        <f t="shared" si="5"/>
        <v>0.13009408238964348</v>
      </c>
      <c r="G41" s="96">
        <f>SUM('2019 Statistics'!C37:E37)</f>
        <v>147600</v>
      </c>
      <c r="H41" s="96">
        <f>SUM('2018 Statistics'!C37:E37)</f>
        <v>138257</v>
      </c>
      <c r="I41" s="98">
        <f t="shared" si="4"/>
        <v>6.7577048540037765E-2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Statistics'!E38</f>
        <v>0</v>
      </c>
      <c r="E42" s="96">
        <f>'2018 Statistics'!E38</f>
        <v>0</v>
      </c>
      <c r="F42" s="109" t="s">
        <v>33</v>
      </c>
      <c r="G42" s="96">
        <f>SUM('2019 Statistics'!C38:E38)</f>
        <v>0</v>
      </c>
      <c r="H42" s="96">
        <f>SUM('2018 Statistics'!C38:E38)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Statistics'!E39</f>
        <v>0</v>
      </c>
      <c r="E43" s="96">
        <f>'2018 Statistics'!E39</f>
        <v>0</v>
      </c>
      <c r="F43" s="109" t="s">
        <v>33</v>
      </c>
      <c r="G43" s="96">
        <f>SUM('2019 Statistics'!C39:E39)</f>
        <v>0</v>
      </c>
      <c r="H43" s="96">
        <f>SUM('2018 Statistics'!C39:E39)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Statistics'!E41</f>
        <v>3947151</v>
      </c>
      <c r="E45" s="46">
        <f>'2018 Statistics'!E41</f>
        <v>3784921</v>
      </c>
      <c r="F45" s="42">
        <f>(D45/E45)-1</f>
        <v>4.2862189197607981E-2</v>
      </c>
      <c r="G45" s="46">
        <f>SUM('2019 Statistics'!C41:E41)</f>
        <v>12134947</v>
      </c>
      <c r="H45" s="46">
        <f>SUM('2018 Statistics'!C41:E41)</f>
        <v>10915683</v>
      </c>
      <c r="I45" s="42">
        <f>(G45/H45)-1</f>
        <v>0.11169837013405393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6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F630-317B-4A10-A06C-EAAF26990F2E}">
  <sheetPr>
    <pageSetUpPr fitToPage="1"/>
  </sheetPr>
  <dimension ref="A1:L52"/>
  <sheetViews>
    <sheetView zoomScaleNormal="100" workbookViewId="0">
      <selection activeCell="H13" sqref="H13 H19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60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11"/>
      <c r="B8" s="111"/>
      <c r="C8" s="111"/>
      <c r="D8" s="111"/>
      <c r="E8" s="111"/>
      <c r="F8" s="111"/>
      <c r="G8" s="111"/>
      <c r="H8" s="111"/>
      <c r="I8" s="111"/>
    </row>
    <row r="10" spans="1:12" ht="16.5" customHeight="1" x14ac:dyDescent="0.25">
      <c r="B10" s="136"/>
      <c r="C10" s="136"/>
      <c r="D10" s="132" t="s">
        <v>0</v>
      </c>
      <c r="E10" s="132"/>
      <c r="F10" s="110" t="s">
        <v>1</v>
      </c>
      <c r="G10" s="132" t="s">
        <v>2</v>
      </c>
      <c r="H10" s="132"/>
      <c r="I10" s="110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10" t="s">
        <v>3</v>
      </c>
      <c r="G11" s="48">
        <v>2019</v>
      </c>
      <c r="H11" s="48">
        <v>2018</v>
      </c>
      <c r="I11" s="110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2043</v>
      </c>
      <c r="E12" s="33">
        <f>SUM(E13,E15,E16)</f>
        <v>1669</v>
      </c>
      <c r="F12" s="34">
        <f>(D12/E12)-1</f>
        <v>0.22408627920910718</v>
      </c>
      <c r="G12" s="33">
        <f>SUM(G13,G15,G16)</f>
        <v>8211</v>
      </c>
      <c r="H12" s="33">
        <f>SUM(H13,H15,H16)</f>
        <v>6353</v>
      </c>
      <c r="I12" s="34">
        <f>(G12/H12)-1</f>
        <v>0.29246025499763895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Statistics'!F3</f>
        <v>1796</v>
      </c>
      <c r="E13" s="36">
        <f>'2018 Statistics'!F3</f>
        <v>1581</v>
      </c>
      <c r="F13" s="37">
        <f>(D13/E13)-1</f>
        <v>0.1359898798228969</v>
      </c>
      <c r="G13" s="36">
        <f>SUM('2019 Statistics'!C3:F3)</f>
        <v>7382</v>
      </c>
      <c r="H13" s="36">
        <f>SUM('2018 Statistics'!C3:F3)</f>
        <v>5807</v>
      </c>
      <c r="I13" s="37">
        <f>(G13/H13)-1</f>
        <v>0.271224384363699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Statistics'!F4</f>
        <v>1796</v>
      </c>
      <c r="E14" s="3">
        <f>'2018 Statistics'!F4</f>
        <v>1581</v>
      </c>
      <c r="F14" s="29">
        <f>(D14/E14)-1</f>
        <v>0.1359898798228969</v>
      </c>
      <c r="G14" s="3">
        <f>SUM('2019 Statistics'!C4:F4)</f>
        <v>7382</v>
      </c>
      <c r="H14" s="47">
        <f>SUM('2018 Statistics'!C3:F3)</f>
        <v>5807</v>
      </c>
      <c r="I14" s="29">
        <f>(G14/H14)-1</f>
        <v>0.271224384363699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Statistics'!F5</f>
        <v>137</v>
      </c>
      <c r="E15" s="36">
        <f>'2018 Statistics'!F5</f>
        <v>0</v>
      </c>
      <c r="F15" s="28">
        <v>1</v>
      </c>
      <c r="G15" s="36">
        <f>SUM('2019 Statistics'!C5:F5)</f>
        <v>275</v>
      </c>
      <c r="H15" s="36">
        <f>SUM('2018 Statistics'!C5:F5)</f>
        <v>310</v>
      </c>
      <c r="I15" s="28">
        <f t="shared" ref="I15:I16" si="0">(G15/H15)-1</f>
        <v>-0.11290322580645162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Statistics'!F8</f>
        <v>110</v>
      </c>
      <c r="E16" s="36">
        <f>'2018 Statistics'!F8</f>
        <v>88</v>
      </c>
      <c r="F16" s="28">
        <f t="shared" ref="F16" si="1">(D16/E16)-1</f>
        <v>0.25</v>
      </c>
      <c r="G16" s="36">
        <f>SUM('2019 Statistics'!C8:F8)</f>
        <v>554</v>
      </c>
      <c r="H16" s="36">
        <f>SUM('2018 Statistics'!C8:F8)</f>
        <v>236</v>
      </c>
      <c r="I16" s="28">
        <f t="shared" si="0"/>
        <v>1.347457627118644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2161</v>
      </c>
      <c r="E18" s="33">
        <f>SUM(E19,E21,E22)</f>
        <v>1786</v>
      </c>
      <c r="F18" s="34">
        <f>(D18/E18)-1</f>
        <v>0.20996640537514</v>
      </c>
      <c r="G18" s="33">
        <f>SUM(G19,G21,G22)</f>
        <v>8239</v>
      </c>
      <c r="H18" s="33">
        <f>SUM(H19,H21,H22)</f>
        <v>6320</v>
      </c>
      <c r="I18" s="34">
        <f>(G18/H18)-1</f>
        <v>0.30363924050632907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Statistics'!F11</f>
        <v>1914</v>
      </c>
      <c r="E19" s="36">
        <f>'2018 Statistics'!F11</f>
        <v>1689</v>
      </c>
      <c r="F19" s="37">
        <f>(D19/E19)-1</f>
        <v>0.13321492007104796</v>
      </c>
      <c r="G19" s="36">
        <f>SUM('2019 Statistics'!C11:F11)</f>
        <v>7429</v>
      </c>
      <c r="H19" s="36">
        <f>SUM('2018 Statistics'!C11:F11)</f>
        <v>5774</v>
      </c>
      <c r="I19" s="37">
        <f>(G19/H19)-1</f>
        <v>0.28662971943193627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Statistics'!F12</f>
        <v>1914</v>
      </c>
      <c r="E20" s="3">
        <f>'2018 Statistics'!F12</f>
        <v>1689</v>
      </c>
      <c r="F20" s="29">
        <f>(D20/E20)-1</f>
        <v>0.13321492007104796</v>
      </c>
      <c r="G20" s="47">
        <f>SUM('2019 Statistics'!C12:F12)</f>
        <v>7429</v>
      </c>
      <c r="H20" s="47">
        <f>SUM('2018 Statistics'!C12:F12)</f>
        <v>5774</v>
      </c>
      <c r="I20" s="29">
        <f>(G20/H20)-1</f>
        <v>0.28662971943193627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Statistics'!F13</f>
        <v>137</v>
      </c>
      <c r="E21" s="36">
        <f>'2018 Statistics'!F13</f>
        <v>0</v>
      </c>
      <c r="F21" s="28">
        <v>1</v>
      </c>
      <c r="G21" s="36">
        <f>SUM('2019 Statistics'!C13:F13)</f>
        <v>274</v>
      </c>
      <c r="H21" s="36">
        <f>SUM('2018 Statistics'!C13:F13)</f>
        <v>309</v>
      </c>
      <c r="I21" s="28">
        <f t="shared" ref="I21:I22" si="2">(G21/H21)-1</f>
        <v>-0.11326860841423947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Statistics'!F16</f>
        <v>110</v>
      </c>
      <c r="E22" s="36">
        <f>'2018 Statistics'!F16</f>
        <v>97</v>
      </c>
      <c r="F22" s="28">
        <f t="shared" ref="F22" si="3">(D22/E22)-1</f>
        <v>0.134020618556701</v>
      </c>
      <c r="G22" s="36">
        <f>SUM('2019 Statistics'!C16:F16)</f>
        <v>536</v>
      </c>
      <c r="H22" s="36">
        <f>SUM('2018 Statistics'!C16:F16)</f>
        <v>237</v>
      </c>
      <c r="I22" s="28">
        <f t="shared" si="2"/>
        <v>1.2616033755274261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4204</v>
      </c>
      <c r="E24" s="33">
        <f>SUM(E12,E18)</f>
        <v>3455</v>
      </c>
      <c r="F24" s="34">
        <f>(D24/E24)-1</f>
        <v>0.21678726483357447</v>
      </c>
      <c r="G24" s="33">
        <f>SUM(G18,G12)</f>
        <v>16450</v>
      </c>
      <c r="H24" s="33">
        <f>SUM(H18,H12)</f>
        <v>12673</v>
      </c>
      <c r="I24" s="34">
        <f>(G24/H24)-1</f>
        <v>0.29803519292985081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6100</v>
      </c>
      <c r="E26" s="41">
        <f>SUM(E27:E28)</f>
        <v>5500</v>
      </c>
      <c r="F26" s="42">
        <f>(D26/E26)-1</f>
        <v>0.10909090909090913</v>
      </c>
      <c r="G26" s="41">
        <f>SUM(G27:G28)</f>
        <v>23950</v>
      </c>
      <c r="H26" s="41">
        <f>SUM(H27:H28)</f>
        <v>22750</v>
      </c>
      <c r="I26" s="42">
        <f>(G26/H26)-1</f>
        <v>5.2747252747252782E-2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Statistics'!F21</f>
        <v>5800</v>
      </c>
      <c r="E27" s="3">
        <f>'2018 Statistics'!F21</f>
        <v>5500</v>
      </c>
      <c r="F27" s="29">
        <f>(D27/E27)-1</f>
        <v>5.4545454545454453E-2</v>
      </c>
      <c r="G27" s="3">
        <f>SUM('2019 Statistics'!C21:F21)</f>
        <v>23350</v>
      </c>
      <c r="H27" s="3">
        <f>SUM('2018 Statistics'!C21:F21)</f>
        <v>21850</v>
      </c>
      <c r="I27" s="29">
        <f>(G27/H27)-1</f>
        <v>6.8649885583524028E-2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Statistics'!F22</f>
        <v>300</v>
      </c>
      <c r="E28" s="3">
        <f>'2018 Statistics'!F22</f>
        <v>0</v>
      </c>
      <c r="F28" s="26">
        <v>1</v>
      </c>
      <c r="G28" s="3">
        <f>SUM('2019 Statistics'!C22:F22)</f>
        <v>600</v>
      </c>
      <c r="H28" s="3">
        <f>SUM('2018 Statistics'!C22:F22)</f>
        <v>900</v>
      </c>
      <c r="I28" s="29">
        <f>(G28/H28)-1</f>
        <v>-0.33333333333333337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'2018 Statistics'!C24</f>
        <v>0.51747899159663868</v>
      </c>
      <c r="E30" s="43">
        <f>'2017 Statistics'!C24</f>
        <v>0.47264150943396227</v>
      </c>
      <c r="F30" s="42">
        <f>D30-E30</f>
        <v>4.4837482162676412E-2</v>
      </c>
      <c r="G30" s="43">
        <f>G24/G26</f>
        <v>0.68684759916492688</v>
      </c>
      <c r="H30" s="43">
        <f>(H24/H26)</f>
        <v>0.55705494505494502</v>
      </c>
      <c r="I30" s="42">
        <f>G30-H30</f>
        <v>0.12979265410998186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0.6396551724137931</v>
      </c>
      <c r="E31" s="26">
        <f>'2018 Statistics'!F25</f>
        <v>0.5945454545454546</v>
      </c>
      <c r="F31" s="29">
        <f>D31-E31</f>
        <v>4.5109717868338506E-2</v>
      </c>
      <c r="G31" s="26">
        <f>(SUM(G13,G19)/G27)</f>
        <v>0.63430406852248389</v>
      </c>
      <c r="H31" s="26">
        <f>(SUM(H13,H19)/H27)</f>
        <v>0.53002288329519454</v>
      </c>
      <c r="I31" s="109">
        <f>G31-H31</f>
        <v>0.10428118522728935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>
        <f>SUM(D15,D21)/D28</f>
        <v>0.91333333333333333</v>
      </c>
      <c r="E32" s="26" t="str">
        <f>'2018 Statistics'!F26</f>
        <v>N/A</v>
      </c>
      <c r="F32" s="113" t="s">
        <v>33</v>
      </c>
      <c r="G32" s="26">
        <f>SUM(G21,G15)/G28</f>
        <v>0.91500000000000004</v>
      </c>
      <c r="H32" s="26">
        <f>SUM(H21,H15)/H28</f>
        <v>0.68777777777777782</v>
      </c>
      <c r="I32" s="29">
        <f>G32-H32</f>
        <v>0.22722222222222221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Statistics'!F28</f>
        <v>0.96666666666666667</v>
      </c>
      <c r="E34" s="44">
        <f>'2018 Statistics'!F28</f>
        <v>0.9821428571428571</v>
      </c>
      <c r="F34" s="42">
        <v>-0.01</v>
      </c>
      <c r="G34" s="45">
        <f>SUM('2019 Statistics'!C30:E30)/SUM('2019 Statistics'!C29:E29)</f>
        <v>0.97771587743732591</v>
      </c>
      <c r="H34" s="44">
        <f>SUM('2018 Statistics'!C30:E30)/SUM('2018 Statistics'!C29:E29)</f>
        <v>0.97904191616766467</v>
      </c>
      <c r="I34" s="42">
        <v>0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Statistics'!F32</f>
        <v>120672</v>
      </c>
      <c r="E36" s="33">
        <f>'2018 Statistics'!F32</f>
        <v>85066</v>
      </c>
      <c r="F36" s="42">
        <f>(D36/E36)-1</f>
        <v>0.41856911104318995</v>
      </c>
      <c r="G36" s="46">
        <f>SUM(G37:G43)</f>
        <v>420851</v>
      </c>
      <c r="H36" s="33">
        <f>SUM(H37:H43)</f>
        <v>374467</v>
      </c>
      <c r="I36" s="42">
        <f>(G36/H36)-1</f>
        <v>0.12386672256834386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Statistics'!F33</f>
        <v>50472</v>
      </c>
      <c r="E37" s="96">
        <f>'2018 Statistics'!F33</f>
        <v>36463</v>
      </c>
      <c r="F37" s="98">
        <f>(D37/E37)-1</f>
        <v>0.38419767983983766</v>
      </c>
      <c r="G37" s="96">
        <f>SUM('2019 Statistics'!C33:F33)</f>
        <v>166808</v>
      </c>
      <c r="H37" s="96">
        <f>SUM('2018 Statistics'!C33:F33)</f>
        <v>162034</v>
      </c>
      <c r="I37" s="98">
        <f>(G37/H37)-1</f>
        <v>2.9462952219904359E-2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Statistics'!F34</f>
        <v>0</v>
      </c>
      <c r="E38" s="96">
        <f>'2018 Statistics'!F34</f>
        <v>0</v>
      </c>
      <c r="F38" s="109" t="s">
        <v>33</v>
      </c>
      <c r="G38" s="96">
        <f>SUM('2019 Statistics'!C34:F34)</f>
        <v>0</v>
      </c>
      <c r="H38" s="96">
        <f>SUM('2018 Statistics'!C34:F34)</f>
        <v>1982</v>
      </c>
      <c r="I38" s="98">
        <f t="shared" ref="I38:I41" si="4">(G38/H38)-1</f>
        <v>-1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Statistics'!F35</f>
        <v>12270</v>
      </c>
      <c r="E39" s="96">
        <f>'2018 Statistics'!F35</f>
        <v>12085</v>
      </c>
      <c r="F39" s="98">
        <f t="shared" ref="F39:F41" si="5">(D39/E39)-1</f>
        <v>1.5308233347124611E-2</v>
      </c>
      <c r="G39" s="96">
        <f>SUM('2019 Statistics'!C35:F35)</f>
        <v>48513</v>
      </c>
      <c r="H39" s="96">
        <f>SUM('2018 Statistics'!C35:F35)</f>
        <v>35676</v>
      </c>
      <c r="I39" s="98">
        <f t="shared" si="4"/>
        <v>0.3598217288933736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Statistics'!F36</f>
        <v>0</v>
      </c>
      <c r="E40" s="96">
        <f>'2018 Statistics'!F36</f>
        <v>0</v>
      </c>
      <c r="F40" s="109" t="s">
        <v>33</v>
      </c>
      <c r="G40" s="96">
        <f>SUM('2019 Statistics'!C36:F36)</f>
        <v>0</v>
      </c>
      <c r="H40" s="96">
        <f>SUM('2018 Statistics'!C36:F36)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Statistics'!F37</f>
        <v>57930</v>
      </c>
      <c r="E41" s="96">
        <f>'2018 Statistics'!F37</f>
        <v>36518</v>
      </c>
      <c r="F41" s="98">
        <f t="shared" si="5"/>
        <v>0.58634098252916367</v>
      </c>
      <c r="G41" s="96">
        <f>SUM('2019 Statistics'!C37:F37)</f>
        <v>205530</v>
      </c>
      <c r="H41" s="96">
        <f>SUM('2018 Statistics'!C37:F37)</f>
        <v>174775</v>
      </c>
      <c r="I41" s="98">
        <f t="shared" si="4"/>
        <v>0.17596910313259895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Statistics'!F38</f>
        <v>0</v>
      </c>
      <c r="E42" s="96">
        <f>'2018 Statistics'!F38</f>
        <v>0</v>
      </c>
      <c r="F42" s="109" t="s">
        <v>33</v>
      </c>
      <c r="G42" s="96">
        <f>SUM('2019 Statistics'!C38:F38)</f>
        <v>0</v>
      </c>
      <c r="H42" s="96">
        <f>SUM('2018 Statistics'!C38:F38)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Statistics'!F39</f>
        <v>0</v>
      </c>
      <c r="E43" s="96">
        <f>'2018 Statistics'!F39</f>
        <v>0</v>
      </c>
      <c r="F43" s="109" t="s">
        <v>33</v>
      </c>
      <c r="G43" s="96">
        <f>SUM('2019 Statistics'!C39:F39)</f>
        <v>0</v>
      </c>
      <c r="H43" s="96">
        <f>SUM('2018 Statistics'!C39:F39)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Statistics'!F41</f>
        <v>4098534</v>
      </c>
      <c r="E45" s="46">
        <f>'2018 Statistics'!F41</f>
        <v>3604875</v>
      </c>
      <c r="F45" s="42">
        <f>(D45/E45)-1</f>
        <v>0.13694205763029221</v>
      </c>
      <c r="G45" s="46">
        <f>SUM('2019 Statistics'!C41:F41)</f>
        <v>16233481</v>
      </c>
      <c r="H45" s="46">
        <f>SUM('2018 Statistics'!C41:F41)</f>
        <v>14520558</v>
      </c>
      <c r="I45" s="42">
        <f>(G45/H45)-1</f>
        <v>0.1179653702013379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0FB3-0A16-45E1-8F60-990A9A5A3532}">
  <sheetPr>
    <pageSetUpPr fitToPage="1"/>
  </sheetPr>
  <dimension ref="A1:L52"/>
  <sheetViews>
    <sheetView zoomScaleNormal="100" workbookViewId="0">
      <selection activeCell="K40" sqref="K40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61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</row>
    <row r="10" spans="1:12" ht="16.5" customHeight="1" x14ac:dyDescent="0.25">
      <c r="B10" s="136"/>
      <c r="C10" s="136"/>
      <c r="D10" s="132" t="s">
        <v>0</v>
      </c>
      <c r="E10" s="132"/>
      <c r="F10" s="114" t="s">
        <v>1</v>
      </c>
      <c r="G10" s="132" t="s">
        <v>2</v>
      </c>
      <c r="H10" s="132"/>
      <c r="I10" s="114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14" t="s">
        <v>3</v>
      </c>
      <c r="G11" s="48">
        <v>2019</v>
      </c>
      <c r="H11" s="48">
        <v>2018</v>
      </c>
      <c r="I11" s="114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2100</v>
      </c>
      <c r="E12" s="33">
        <f>SUM(E13,E15,E16)</f>
        <v>2182</v>
      </c>
      <c r="F12" s="34">
        <f>(D12/E12)-1</f>
        <v>-3.7580201649862532E-2</v>
      </c>
      <c r="G12" s="33">
        <f>SUM(G13,G15,G16)</f>
        <v>10311</v>
      </c>
      <c r="H12" s="33">
        <f>SUM(H13,H15,H16)</f>
        <v>8535</v>
      </c>
      <c r="I12" s="34">
        <f>(G12/H12)-1</f>
        <v>0.20808435852372575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Statistics'!G3</f>
        <v>2012</v>
      </c>
      <c r="E13" s="36">
        <f>'2018 Statistics'!G3</f>
        <v>2012</v>
      </c>
      <c r="F13" s="37">
        <f>(D13/E13)-1</f>
        <v>0</v>
      </c>
      <c r="G13" s="36">
        <f>SUM('2019 Statistics'!C3:G3)</f>
        <v>9394</v>
      </c>
      <c r="H13" s="36">
        <f>SUM('2018 Statistics'!C3:G3)</f>
        <v>7819</v>
      </c>
      <c r="I13" s="37">
        <f>(G13/H13)-1</f>
        <v>0.20143240823634745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Statistics'!G4</f>
        <v>2012</v>
      </c>
      <c r="E14" s="3">
        <f>'2018 Statistics'!G4</f>
        <v>2012</v>
      </c>
      <c r="F14" s="29">
        <f>(D14/E14)-1</f>
        <v>0</v>
      </c>
      <c r="G14" s="3">
        <f>SUM('2019 Statistics'!C4:G4)</f>
        <v>9394</v>
      </c>
      <c r="H14" s="47">
        <f>SUM('2018 Statistics'!C3:G3)</f>
        <v>7819</v>
      </c>
      <c r="I14" s="29">
        <f>(G14/H14)-1</f>
        <v>0.20143240823634745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Statistics'!G5</f>
        <v>0</v>
      </c>
      <c r="E15" s="36">
        <f>'2018 Statistics'!G5</f>
        <v>82</v>
      </c>
      <c r="F15" s="28">
        <v>1</v>
      </c>
      <c r="G15" s="36">
        <f>SUM('2019 Statistics'!C5:G5)</f>
        <v>275</v>
      </c>
      <c r="H15" s="36">
        <f>SUM('2018 Statistics'!C5:G5)</f>
        <v>392</v>
      </c>
      <c r="I15" s="28">
        <f t="shared" ref="I15:I16" si="0">(G15/H15)-1</f>
        <v>-0.29846938775510201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Statistics'!G8</f>
        <v>88</v>
      </c>
      <c r="E16" s="36">
        <f>'2018 Statistics'!G8</f>
        <v>88</v>
      </c>
      <c r="F16" s="28">
        <f t="shared" ref="F16" si="1">(D16/E16)-1</f>
        <v>0</v>
      </c>
      <c r="G16" s="36">
        <f>SUM('2019 Statistics'!C8:G8)</f>
        <v>642</v>
      </c>
      <c r="H16" s="36">
        <f>SUM('2018 Statistics'!C8:G8)</f>
        <v>324</v>
      </c>
      <c r="I16" s="28">
        <f t="shared" si="0"/>
        <v>0.9814814814814814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2087</v>
      </c>
      <c r="E18" s="33">
        <f>SUM(E19,E21,E22)</f>
        <v>2112</v>
      </c>
      <c r="F18" s="34">
        <f>(D18/E18)-1</f>
        <v>-1.1837121212121215E-2</v>
      </c>
      <c r="G18" s="33">
        <f>SUM(G19,G21,G22)</f>
        <v>10326</v>
      </c>
      <c r="H18" s="33">
        <f>SUM(H19,H21,H22)</f>
        <v>8432</v>
      </c>
      <c r="I18" s="34">
        <f>(G18/H18)-1</f>
        <v>0.22462049335863377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Statistics'!G11</f>
        <v>1999</v>
      </c>
      <c r="E19" s="36">
        <f>'2018 Statistics'!G11</f>
        <v>1935</v>
      </c>
      <c r="F19" s="37">
        <f>(D19/E19)-1</f>
        <v>3.3074935400516869E-2</v>
      </c>
      <c r="G19" s="36">
        <f>SUM('2019 Statistics'!C11:G11)</f>
        <v>9428</v>
      </c>
      <c r="H19" s="36">
        <f>SUM('2018 Statistics'!C11:G11)</f>
        <v>7709</v>
      </c>
      <c r="I19" s="37">
        <f>(G19/H19)-1</f>
        <v>0.22298612011934105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Statistics'!G12</f>
        <v>1999</v>
      </c>
      <c r="E20" s="3">
        <f>'2018 Statistics'!G12</f>
        <v>1935</v>
      </c>
      <c r="F20" s="29">
        <f>(D20/E20)-1</f>
        <v>3.3074935400516869E-2</v>
      </c>
      <c r="G20" s="47">
        <f>SUM('2019 Statistics'!C12:G12)</f>
        <v>9428</v>
      </c>
      <c r="H20" s="47">
        <f>SUM('2018 Statistics'!C12:G12)</f>
        <v>7709</v>
      </c>
      <c r="I20" s="29">
        <f>(G20/H20)-1</f>
        <v>0.22298612011934105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Statistics'!G13</f>
        <v>0</v>
      </c>
      <c r="E21" s="36">
        <f>'2018 Statistics'!G13</f>
        <v>82</v>
      </c>
      <c r="F21" s="28">
        <v>1</v>
      </c>
      <c r="G21" s="36">
        <f>SUM('2019 Statistics'!C13:G13)</f>
        <v>274</v>
      </c>
      <c r="H21" s="36">
        <f>SUM('2018 Statistics'!C13:G13)</f>
        <v>391</v>
      </c>
      <c r="I21" s="28">
        <f t="shared" ref="I21:I22" si="2">(G21/H21)-1</f>
        <v>-0.29923273657289007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Statistics'!G16</f>
        <v>88</v>
      </c>
      <c r="E22" s="36">
        <f>'2018 Statistics'!G16</f>
        <v>95</v>
      </c>
      <c r="F22" s="28">
        <f t="shared" ref="F22" si="3">(D22/E22)-1</f>
        <v>-7.3684210526315796E-2</v>
      </c>
      <c r="G22" s="36">
        <f>SUM('2019 Statistics'!C16:G16)</f>
        <v>624</v>
      </c>
      <c r="H22" s="36">
        <f>SUM('2018 Statistics'!C16:G16)</f>
        <v>332</v>
      </c>
      <c r="I22" s="28">
        <f t="shared" si="2"/>
        <v>0.87951807228915668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4187</v>
      </c>
      <c r="E24" s="33">
        <f>SUM(E12,E18)</f>
        <v>4294</v>
      </c>
      <c r="F24" s="34">
        <f>(D24/E24)-1</f>
        <v>-2.4918490917559377E-2</v>
      </c>
      <c r="G24" s="33">
        <f>SUM(G18,G12)</f>
        <v>20637</v>
      </c>
      <c r="H24" s="33">
        <f>SUM(H18,H12)</f>
        <v>16967</v>
      </c>
      <c r="I24" s="34">
        <f>(G24/H24)-1</f>
        <v>0.2163022337478635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6100</v>
      </c>
      <c r="E26" s="41">
        <f>SUM(E27:E28)</f>
        <v>5800</v>
      </c>
      <c r="F26" s="42">
        <f>(D26/E26)-1</f>
        <v>5.1724137931034475E-2</v>
      </c>
      <c r="G26" s="41">
        <f>SUM(G27:G28)</f>
        <v>30050</v>
      </c>
      <c r="H26" s="41">
        <f>SUM(H27:H28)</f>
        <v>28550</v>
      </c>
      <c r="I26" s="42">
        <f>(G26/H26)-1</f>
        <v>5.2539404553415103E-2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Statistics'!G21</f>
        <v>6100</v>
      </c>
      <c r="E27" s="3">
        <f>'2018 Statistics'!G21</f>
        <v>5500</v>
      </c>
      <c r="F27" s="29">
        <f>(D27/E27)-1</f>
        <v>0.10909090909090913</v>
      </c>
      <c r="G27" s="3">
        <f>SUM('2019 Statistics'!C21:G21)</f>
        <v>29450</v>
      </c>
      <c r="H27" s="3">
        <f>SUM('2018 Statistics'!C21:G21)</f>
        <v>27350</v>
      </c>
      <c r="I27" s="29">
        <f>(G27/H27)-1</f>
        <v>7.6782449725776969E-2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Statistics'!G22</f>
        <v>0</v>
      </c>
      <c r="E28" s="3">
        <f>'2018 Statistics'!G22</f>
        <v>300</v>
      </c>
      <c r="F28" s="26">
        <v>1</v>
      </c>
      <c r="G28" s="3">
        <f>SUM('2019 Statistics'!C22:G22)</f>
        <v>600</v>
      </c>
      <c r="H28" s="3">
        <f>SUM('2018 Statistics'!C22:G22)</f>
        <v>1200</v>
      </c>
      <c r="I28" s="29">
        <f>(G28/H28)-1</f>
        <v>-0.5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'2018 Statistics'!G24</f>
        <v>0.70879310344827584</v>
      </c>
      <c r="E30" s="43">
        <f>'2017 Statistics'!G24</f>
        <v>0.5427826086956522</v>
      </c>
      <c r="F30" s="42">
        <f>D30-E30</f>
        <v>0.16601049475262364</v>
      </c>
      <c r="G30" s="43">
        <f>G24/G26</f>
        <v>0.68675540765391019</v>
      </c>
      <c r="H30" s="43">
        <f>(H24/H26)</f>
        <v>0.59429071803852884</v>
      </c>
      <c r="I30" s="42">
        <f>G30-H30</f>
        <v>9.2464689615381346E-2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0.65754098360655733</v>
      </c>
      <c r="E31" s="26">
        <f>'2018 Statistics'!G25</f>
        <v>0.71763636363636363</v>
      </c>
      <c r="F31" s="29">
        <f>D31-E31</f>
        <v>-6.00953800298063E-2</v>
      </c>
      <c r="G31" s="26">
        <f>(SUM(G13,G19)/G27)</f>
        <v>0.63911714770797967</v>
      </c>
      <c r="H31" s="26">
        <f>(SUM(H13,H19)/H27)</f>
        <v>0.56775137111517371</v>
      </c>
      <c r="I31" s="109">
        <f>G31-H31</f>
        <v>7.1365776592805963E-2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 t="e">
        <f>SUM(D15,D21)/D28</f>
        <v>#DIV/0!</v>
      </c>
      <c r="E32" s="26">
        <f>'2018 Statistics'!G26</f>
        <v>0.54666666666666663</v>
      </c>
      <c r="F32" s="113" t="s">
        <v>33</v>
      </c>
      <c r="G32" s="26">
        <f>SUM(G21,G15)/G28</f>
        <v>0.91500000000000004</v>
      </c>
      <c r="H32" s="26">
        <f>SUM(H21,H15)/H28</f>
        <v>0.65249999999999997</v>
      </c>
      <c r="I32" s="29">
        <f>G32-H32</f>
        <v>0.26250000000000007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Statistics'!G28</f>
        <v>0.9838709677419355</v>
      </c>
      <c r="E34" s="44">
        <f>'2018 Statistics'!G28</f>
        <v>1</v>
      </c>
      <c r="F34" s="42">
        <v>-0.02</v>
      </c>
      <c r="G34" s="45">
        <f>SUM('2019 Statistics'!C30:G30)/SUM('2019 Statistics'!C29:G29)</f>
        <v>0.97678275290215588</v>
      </c>
      <c r="H34" s="44">
        <f>SUM('2018 Statistics'!C30:G30)/SUM('2018 Statistics'!C29:G29)</f>
        <v>0.98381294964028776</v>
      </c>
      <c r="I34" s="42">
        <v>0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Statistics'!G32</f>
        <v>128076</v>
      </c>
      <c r="E36" s="33">
        <f>'2018 Statistics'!G32</f>
        <v>103220</v>
      </c>
      <c r="F36" s="42">
        <f>(D36/E36)-1</f>
        <v>0.24080604534005046</v>
      </c>
      <c r="G36" s="46">
        <f>SUM(G37:G43)</f>
        <v>548927</v>
      </c>
      <c r="H36" s="33">
        <f>SUM(H37:H43)</f>
        <v>477687</v>
      </c>
      <c r="I36" s="42">
        <f>(G36/H36)-1</f>
        <v>0.14913531245355216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Statistics'!G33</f>
        <v>63408</v>
      </c>
      <c r="E37" s="96">
        <f>'2018 Statistics'!G33</f>
        <v>49969</v>
      </c>
      <c r="F37" s="98">
        <f>(D37/E37)-1</f>
        <v>0.26894674698312948</v>
      </c>
      <c r="G37" s="96">
        <f>SUM('2019 Statistics'!C33:G33)</f>
        <v>230216</v>
      </c>
      <c r="H37" s="96">
        <f>SUM('2018 Statistics'!C33:G33)</f>
        <v>212003</v>
      </c>
      <c r="I37" s="98">
        <f>(G37/H37)-1</f>
        <v>8.590916166280671E-2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Statistics'!G34</f>
        <v>685</v>
      </c>
      <c r="E38" s="96">
        <f>'2018 Statistics'!G34</f>
        <v>0</v>
      </c>
      <c r="F38" s="109" t="s">
        <v>33</v>
      </c>
      <c r="G38" s="96">
        <f>SUM('2019 Statistics'!C34:G34)</f>
        <v>685</v>
      </c>
      <c r="H38" s="96">
        <f>SUM('2018 Statistics'!C34:G34)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Statistics'!G35</f>
        <v>11422</v>
      </c>
      <c r="E39" s="96">
        <f>'2018 Statistics'!G35</f>
        <v>10642</v>
      </c>
      <c r="F39" s="98">
        <f t="shared" ref="F39:F41" si="5">(D39/E39)-1</f>
        <v>7.3294493516256276E-2</v>
      </c>
      <c r="G39" s="96">
        <f>SUM('2019 Statistics'!C35:G35)</f>
        <v>59935</v>
      </c>
      <c r="H39" s="96">
        <f>SUM('2018 Statistics'!C35:G35)</f>
        <v>46318</v>
      </c>
      <c r="I39" s="98">
        <f t="shared" si="4"/>
        <v>0.29398937777969691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Statistics'!G36</f>
        <v>0</v>
      </c>
      <c r="E40" s="96">
        <f>'2018 Statistics'!G36</f>
        <v>0</v>
      </c>
      <c r="F40" s="109" t="s">
        <v>33</v>
      </c>
      <c r="G40" s="96">
        <f>SUM('2019 Statistics'!C36:G36)</f>
        <v>0</v>
      </c>
      <c r="H40" s="96">
        <f>SUM('2018 Statistics'!C36:G36)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Statistics'!G37</f>
        <v>52561</v>
      </c>
      <c r="E41" s="96">
        <f>'2018 Statistics'!G37</f>
        <v>42609</v>
      </c>
      <c r="F41" s="98">
        <f t="shared" si="5"/>
        <v>0.23356567861249977</v>
      </c>
      <c r="G41" s="96">
        <f>SUM('2019 Statistics'!C37:G37)</f>
        <v>258091</v>
      </c>
      <c r="H41" s="96">
        <f>SUM('2018 Statistics'!C37:G37)</f>
        <v>217384</v>
      </c>
      <c r="I41" s="98">
        <f t="shared" si="4"/>
        <v>0.18725849188532728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Statistics'!G38</f>
        <v>0</v>
      </c>
      <c r="E42" s="96">
        <f>'2018 Statistics'!G38</f>
        <v>0</v>
      </c>
      <c r="F42" s="109" t="s">
        <v>33</v>
      </c>
      <c r="G42" s="96">
        <f>SUM('2019 Statistics'!C38:G38)</f>
        <v>0</v>
      </c>
      <c r="H42" s="96">
        <f>SUM('2018 Statistics'!C38:G38)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Statistics'!G39</f>
        <v>0</v>
      </c>
      <c r="E43" s="96">
        <f>'2018 Statistics'!G39</f>
        <v>0</v>
      </c>
      <c r="F43" s="109" t="s">
        <v>33</v>
      </c>
      <c r="G43" s="96">
        <f>SUM('2019 Statistics'!C39:G39)</f>
        <v>0</v>
      </c>
      <c r="H43" s="96">
        <f>SUM('2018 Statistics'!C39:G39)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Statistics'!G41</f>
        <v>3921470</v>
      </c>
      <c r="E45" s="46">
        <f>'2018 Statistics'!G41</f>
        <v>3855191</v>
      </c>
      <c r="F45" s="42">
        <f>(D45/E45)-1</f>
        <v>1.7192144306209522E-2</v>
      </c>
      <c r="G45" s="46">
        <f>SUM('2019 Statistics'!C41:G41)</f>
        <v>20154951</v>
      </c>
      <c r="H45" s="46">
        <f>SUM('2018 Statistics'!C41:G41)</f>
        <v>18375749</v>
      </c>
      <c r="I45" s="42">
        <f>(G45/H45)-1</f>
        <v>9.6823373022781212E-2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EF8D-2E20-432C-8F74-1A1C2AC6221B}">
  <sheetPr>
    <pageSetUpPr fitToPage="1"/>
  </sheetPr>
  <dimension ref="A1:L52"/>
  <sheetViews>
    <sheetView zoomScaleNormal="100" workbookViewId="0">
      <selection activeCell="K25" sqref="K25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62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</row>
    <row r="10" spans="1:12" ht="16.5" customHeight="1" x14ac:dyDescent="0.25">
      <c r="B10" s="136"/>
      <c r="C10" s="136"/>
      <c r="D10" s="132" t="s">
        <v>0</v>
      </c>
      <c r="E10" s="132"/>
      <c r="F10" s="117" t="s">
        <v>1</v>
      </c>
      <c r="G10" s="132" t="s">
        <v>2</v>
      </c>
      <c r="H10" s="132"/>
      <c r="I10" s="117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17" t="s">
        <v>3</v>
      </c>
      <c r="G11" s="48">
        <v>2019</v>
      </c>
      <c r="H11" s="48">
        <v>2018</v>
      </c>
      <c r="I11" s="117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1860</v>
      </c>
      <c r="E12" s="33">
        <f>SUM(E13,E15,E16)</f>
        <v>2192</v>
      </c>
      <c r="F12" s="34">
        <f>(D12/E12)-1</f>
        <v>-0.15145985401459849</v>
      </c>
      <c r="G12" s="33">
        <f>SUM(G13,G15,G16)</f>
        <v>12171</v>
      </c>
      <c r="H12" s="33">
        <f>SUM(H13,H15,H16)</f>
        <v>10727</v>
      </c>
      <c r="I12" s="34">
        <f>(G12/H12)-1</f>
        <v>0.13461359187097988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Statistics'!H3</f>
        <v>1838</v>
      </c>
      <c r="E13" s="36">
        <f>'2018 Statistics'!H3</f>
        <v>2014</v>
      </c>
      <c r="F13" s="37">
        <f>(D13/E13)-1</f>
        <v>-8.7388282025819275E-2</v>
      </c>
      <c r="G13" s="36">
        <f>SUM('2019 Statistics'!C3:H3)</f>
        <v>11232</v>
      </c>
      <c r="H13" s="36">
        <f>SUM('2018 Statistics'!C3:H3)</f>
        <v>9833</v>
      </c>
      <c r="I13" s="37">
        <f>(G13/H13)-1</f>
        <v>0.1422760093562494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Statistics'!H4</f>
        <v>1838</v>
      </c>
      <c r="E14" s="3">
        <f>'2018 Statistics'!H4</f>
        <v>2014</v>
      </c>
      <c r="F14" s="29">
        <f>(D14/E14)-1</f>
        <v>-8.7388282025819275E-2</v>
      </c>
      <c r="G14" s="3">
        <f>SUM('2019 Statistics'!C4:H4)</f>
        <v>11232</v>
      </c>
      <c r="H14" s="47">
        <f>SUM('2018 Statistics'!C3:H3)</f>
        <v>9833</v>
      </c>
      <c r="I14" s="29">
        <f>(G14/H14)-1</f>
        <v>0.1422760093562494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Statistics'!H5</f>
        <v>0</v>
      </c>
      <c r="E15" s="36">
        <f>'2018 Statistics'!H5</f>
        <v>90</v>
      </c>
      <c r="F15" s="28">
        <v>1</v>
      </c>
      <c r="G15" s="36">
        <f>SUM('2019 Statistics'!C5:H5)</f>
        <v>275</v>
      </c>
      <c r="H15" s="36">
        <f>SUM('2018 Statistics'!C5:H5)</f>
        <v>482</v>
      </c>
      <c r="I15" s="28">
        <f t="shared" ref="I15:I16" si="0">(G15/H15)-1</f>
        <v>-0.4294605809128631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Statistics'!H8</f>
        <v>22</v>
      </c>
      <c r="E16" s="36">
        <f>'2018 Statistics'!H8</f>
        <v>88</v>
      </c>
      <c r="F16" s="28">
        <f t="shared" ref="F16" si="1">(D16/E16)-1</f>
        <v>-0.75</v>
      </c>
      <c r="G16" s="36">
        <f>SUM('2019 Statistics'!C8:H8)</f>
        <v>664</v>
      </c>
      <c r="H16" s="36">
        <f>SUM('2018 Statistics'!C8:H8)</f>
        <v>412</v>
      </c>
      <c r="I16" s="28">
        <f t="shared" si="0"/>
        <v>0.61165048543689315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1895</v>
      </c>
      <c r="E18" s="33">
        <f>SUM(E19,E21,E22)</f>
        <v>2220</v>
      </c>
      <c r="F18" s="34">
        <f>(D18/E18)-1</f>
        <v>-0.14639639639639634</v>
      </c>
      <c r="G18" s="33">
        <f>SUM(G19,G21,G22)</f>
        <v>12221</v>
      </c>
      <c r="H18" s="33">
        <f>SUM(H19,H21,H22)</f>
        <v>10652</v>
      </c>
      <c r="I18" s="34">
        <f>(G18/H18)-1</f>
        <v>0.14729628238828396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Statistics'!H11</f>
        <v>1873</v>
      </c>
      <c r="E19" s="36">
        <f>'2018 Statistics'!H11</f>
        <v>2032</v>
      </c>
      <c r="F19" s="37">
        <f>(D19/E19)-1</f>
        <v>-7.8248031496062964E-2</v>
      </c>
      <c r="G19" s="36">
        <f>SUM('2019 Statistics'!C11:H11)</f>
        <v>11301</v>
      </c>
      <c r="H19" s="36">
        <f>SUM('2018 Statistics'!C11:H11)</f>
        <v>9741</v>
      </c>
      <c r="I19" s="37">
        <f>(G19/H19)-1</f>
        <v>0.16014782876501377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Statistics'!H12</f>
        <v>1873</v>
      </c>
      <c r="E20" s="3">
        <f>'2018 Statistics'!H12</f>
        <v>2032</v>
      </c>
      <c r="F20" s="29">
        <f>(D20/E20)-1</f>
        <v>-7.8248031496062964E-2</v>
      </c>
      <c r="G20" s="47">
        <f>SUM('2019 Statistics'!C12:H12)</f>
        <v>11301</v>
      </c>
      <c r="H20" s="47">
        <f>SUM('2018 Statistics'!C12:H12)</f>
        <v>9741</v>
      </c>
      <c r="I20" s="29">
        <f>(G20/H20)-1</f>
        <v>0.16014782876501377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Statistics'!H13</f>
        <v>0</v>
      </c>
      <c r="E21" s="36">
        <f>'2018 Statistics'!H13</f>
        <v>90</v>
      </c>
      <c r="F21" s="28">
        <v>1</v>
      </c>
      <c r="G21" s="36">
        <f>SUM('2019 Statistics'!C13:H13)</f>
        <v>274</v>
      </c>
      <c r="H21" s="36">
        <f>SUM('2018 Statistics'!C13:H13)</f>
        <v>481</v>
      </c>
      <c r="I21" s="28">
        <f t="shared" ref="I21:I22" si="2">(G21/H21)-1</f>
        <v>-0.43035343035343032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Statistics'!H16</f>
        <v>22</v>
      </c>
      <c r="E22" s="36">
        <f>'2018 Statistics'!H16</f>
        <v>98</v>
      </c>
      <c r="F22" s="28">
        <f t="shared" ref="F22" si="3">(D22/E22)-1</f>
        <v>-0.77551020408163263</v>
      </c>
      <c r="G22" s="36">
        <f>SUM('2019 Statistics'!C16:H16)</f>
        <v>646</v>
      </c>
      <c r="H22" s="36">
        <f>SUM('2018 Statistics'!C16:H16)</f>
        <v>430</v>
      </c>
      <c r="I22" s="28">
        <f t="shared" si="2"/>
        <v>0.50232558139534889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3755</v>
      </c>
      <c r="E24" s="33">
        <f>SUM(E12,E18)</f>
        <v>4412</v>
      </c>
      <c r="F24" s="34">
        <f>(D24/E24)-1</f>
        <v>-0.1489120580235721</v>
      </c>
      <c r="G24" s="33">
        <f>SUM(G18,G12)</f>
        <v>24392</v>
      </c>
      <c r="H24" s="33">
        <f>SUM(H18,H12)</f>
        <v>21379</v>
      </c>
      <c r="I24" s="34">
        <f>(G24/H24)-1</f>
        <v>0.14093269095841721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5500</v>
      </c>
      <c r="E26" s="41">
        <f>SUM(E27:E28)</f>
        <v>5700</v>
      </c>
      <c r="F26" s="42">
        <f>(D26/E26)-1</f>
        <v>-3.5087719298245612E-2</v>
      </c>
      <c r="G26" s="41">
        <f>SUM(G27:G28)</f>
        <v>35550</v>
      </c>
      <c r="H26" s="41">
        <f>SUM(H27:H28)</f>
        <v>34250</v>
      </c>
      <c r="I26" s="42">
        <f>(G26/H26)-1</f>
        <v>3.7956204379562042E-2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Statistics'!H21</f>
        <v>5500</v>
      </c>
      <c r="E27" s="3">
        <f>'2018 Statistics'!H21</f>
        <v>5400</v>
      </c>
      <c r="F27" s="29">
        <f>(D27/E27)-1</f>
        <v>1.8518518518518601E-2</v>
      </c>
      <c r="G27" s="3">
        <f>SUM('2019 Statistics'!C21:H21)</f>
        <v>34950</v>
      </c>
      <c r="H27" s="3">
        <f>SUM('2018 Statistics'!C21:H21)</f>
        <v>32750</v>
      </c>
      <c r="I27" s="29">
        <f>(G27/H27)-1</f>
        <v>6.7175572519083904E-2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Statistics'!H22</f>
        <v>0</v>
      </c>
      <c r="E28" s="3">
        <f>'2018 Statistics'!H22</f>
        <v>300</v>
      </c>
      <c r="F28" s="26">
        <v>1</v>
      </c>
      <c r="G28" s="3">
        <f>SUM('2019 Statistics'!C22:H22)</f>
        <v>600</v>
      </c>
      <c r="H28" s="3">
        <f>SUM('2018 Statistics'!C22:H22)</f>
        <v>1500</v>
      </c>
      <c r="I28" s="29">
        <f>(G28/H28)-1</f>
        <v>-0.6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'2019 Statistics'!H24</f>
        <v>0.67472727272727273</v>
      </c>
      <c r="E30" s="43">
        <f>'2018 Statistics'!H24</f>
        <v>0.74140350877192984</v>
      </c>
      <c r="F30" s="42">
        <f>D30-E30</f>
        <v>-6.6676236044657111E-2</v>
      </c>
      <c r="G30" s="43">
        <f>G24/G26</f>
        <v>0.68613220815752463</v>
      </c>
      <c r="H30" s="43">
        <f>(H24/H26)</f>
        <v>0.62420437956204378</v>
      </c>
      <c r="I30" s="42">
        <f>G30-H30</f>
        <v>6.1927828595480849E-2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0.67472727272727273</v>
      </c>
      <c r="E31" s="26">
        <f>'2018 Statistics'!H25</f>
        <v>0.74925925925925929</v>
      </c>
      <c r="F31" s="29">
        <f>D31-E31</f>
        <v>-7.453198653198656E-2</v>
      </c>
      <c r="G31" s="26">
        <f>(SUM(G13,G19)/G27)</f>
        <v>0.64472103004291847</v>
      </c>
      <c r="H31" s="26">
        <f>(SUM(H13,H19)/H27)</f>
        <v>0.59767938931297715</v>
      </c>
      <c r="I31" s="109">
        <f>G31-H31</f>
        <v>4.7041640729941325E-2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116" t="s">
        <v>33</v>
      </c>
      <c r="E32" s="26">
        <f>'2018 Statistics'!H26</f>
        <v>0.6</v>
      </c>
      <c r="F32" s="113" t="s">
        <v>33</v>
      </c>
      <c r="G32" s="26">
        <f>SUM(G21,G15)/G28</f>
        <v>0.91500000000000004</v>
      </c>
      <c r="H32" s="26">
        <f>SUM(H21,H15)/H28</f>
        <v>0.64200000000000002</v>
      </c>
      <c r="I32" s="29">
        <f>G32-H32</f>
        <v>0.27300000000000002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Statistics'!H28</f>
        <v>0.91666666666666663</v>
      </c>
      <c r="E34" s="44">
        <f>'2018 Statistics'!H28</f>
        <v>0.98181818181818181</v>
      </c>
      <c r="F34" s="42">
        <v>-0.02</v>
      </c>
      <c r="G34" s="45">
        <f>SUM('2019 Statistics'!C30:H30)/SUM('2019 Statistics'!C29:H29)</f>
        <v>0.96680497925311204</v>
      </c>
      <c r="H34" s="44">
        <f>SUM('2018 Statistics'!C30:H30)/SUM('2018 Statistics'!C29:H29)</f>
        <v>0.98348348348348347</v>
      </c>
      <c r="I34" s="42">
        <v>-0.01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Statistics'!H32</f>
        <v>121606</v>
      </c>
      <c r="E36" s="33">
        <f>'2018 Statistics'!H32</f>
        <v>93924</v>
      </c>
      <c r="F36" s="42">
        <f>(D36/E36)-1</f>
        <v>0.29472765214428698</v>
      </c>
      <c r="G36" s="46">
        <f>SUM(G37:G43)</f>
        <v>670533</v>
      </c>
      <c r="H36" s="33">
        <f>SUM(H37:H43)</f>
        <v>571611</v>
      </c>
      <c r="I36" s="42">
        <f>(G36/H36)-1</f>
        <v>0.17305825115331941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Statistics'!H33</f>
        <v>56740</v>
      </c>
      <c r="E37" s="96">
        <f>'2018 Statistics'!H33</f>
        <v>46673</v>
      </c>
      <c r="F37" s="98">
        <f>(D37/E37)-1</f>
        <v>0.21569215606453418</v>
      </c>
      <c r="G37" s="96">
        <f>SUM('2019 Statistics'!C33:H33)</f>
        <v>286956</v>
      </c>
      <c r="H37" s="96">
        <f>SUM('2018 Statistics'!C33:H33)</f>
        <v>258676</v>
      </c>
      <c r="I37" s="98">
        <f>(G37/H37)-1</f>
        <v>0.10932595215636542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Statistics'!H34</f>
        <v>0</v>
      </c>
      <c r="E38" s="96">
        <f>'2018 Statistics'!H34</f>
        <v>0</v>
      </c>
      <c r="F38" s="109" t="s">
        <v>33</v>
      </c>
      <c r="G38" s="96">
        <f>SUM('2019 Statistics'!C34:H34)</f>
        <v>685</v>
      </c>
      <c r="H38" s="96">
        <f>SUM('2018 Statistics'!C34:H34)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Statistics'!H35</f>
        <v>23710</v>
      </c>
      <c r="E39" s="96">
        <f>'2018 Statistics'!H35</f>
        <v>1398</v>
      </c>
      <c r="F39" s="98">
        <f t="shared" ref="F39:F41" si="5">(D39/E39)-1</f>
        <v>15.959942775393419</v>
      </c>
      <c r="G39" s="96">
        <f>SUM('2019 Statistics'!C35:H35)</f>
        <v>83645</v>
      </c>
      <c r="H39" s="96">
        <f>SUM('2018 Statistics'!C35:H35)</f>
        <v>47716</v>
      </c>
      <c r="I39" s="98">
        <f t="shared" si="4"/>
        <v>0.75297594098415632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Statistics'!H36</f>
        <v>0</v>
      </c>
      <c r="E40" s="96">
        <f>'2018 Statistics'!H36</f>
        <v>0</v>
      </c>
      <c r="F40" s="109" t="s">
        <v>33</v>
      </c>
      <c r="G40" s="96">
        <f>SUM('2019 Statistics'!C36:H36)</f>
        <v>0</v>
      </c>
      <c r="H40" s="96">
        <f>SUM('2018 Statistics'!C36:H36)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Statistics'!H37</f>
        <v>41156</v>
      </c>
      <c r="E41" s="96">
        <f>'2018 Statistics'!H37</f>
        <v>45853</v>
      </c>
      <c r="F41" s="98">
        <f t="shared" si="5"/>
        <v>-0.1024360456240595</v>
      </c>
      <c r="G41" s="96">
        <f>SUM('2019 Statistics'!C37:H37)</f>
        <v>299247</v>
      </c>
      <c r="H41" s="96">
        <f>SUM('2018 Statistics'!C37:H37)</f>
        <v>263237</v>
      </c>
      <c r="I41" s="98">
        <f t="shared" si="4"/>
        <v>0.13679687885821523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Statistics'!H38</f>
        <v>0</v>
      </c>
      <c r="E42" s="96">
        <f>'2018 Statistics'!H38</f>
        <v>0</v>
      </c>
      <c r="F42" s="109" t="s">
        <v>33</v>
      </c>
      <c r="G42" s="96">
        <f>SUM('2019 Statistics'!C38:H38)</f>
        <v>0</v>
      </c>
      <c r="H42" s="96">
        <f>SUM('2018 Statistics'!C38:H38)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Statistics'!H39</f>
        <v>0</v>
      </c>
      <c r="E43" s="96">
        <f>'2018 Statistics'!H39</f>
        <v>0</v>
      </c>
      <c r="F43" s="109" t="s">
        <v>33</v>
      </c>
      <c r="G43" s="96">
        <f>SUM('2019 Statistics'!C39:H39)</f>
        <v>0</v>
      </c>
      <c r="H43" s="96">
        <f>SUM('2018 Statistics'!C39:H39)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Statistics'!H41</f>
        <v>3363184</v>
      </c>
      <c r="E45" s="46">
        <f>'2018 Statistics'!H41</f>
        <v>3794312</v>
      </c>
      <c r="F45" s="42">
        <f>(D45/E45)-1</f>
        <v>-0.11362481524977386</v>
      </c>
      <c r="G45" s="46">
        <f>SUM('2019 Statistics'!C41:H41)</f>
        <v>23518135</v>
      </c>
      <c r="H45" s="46">
        <f>SUM('2018 Statistics'!C41:H41)</f>
        <v>22170061</v>
      </c>
      <c r="I45" s="42">
        <f>(G45/H45)-1</f>
        <v>6.0806057322079443E-2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D20A8-2262-40F3-AF3B-086855FC07D4}">
  <sheetPr>
    <pageSetUpPr fitToPage="1"/>
  </sheetPr>
  <dimension ref="A1:L52"/>
  <sheetViews>
    <sheetView zoomScaleNormal="100" workbookViewId="0">
      <selection activeCell="K25" sqref="K25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63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</row>
    <row r="10" spans="1:12" ht="16.5" customHeight="1" x14ac:dyDescent="0.25">
      <c r="B10" s="136"/>
      <c r="C10" s="136"/>
      <c r="D10" s="132" t="s">
        <v>0</v>
      </c>
      <c r="E10" s="132"/>
      <c r="F10" s="119" t="s">
        <v>1</v>
      </c>
      <c r="G10" s="132" t="s">
        <v>2</v>
      </c>
      <c r="H10" s="132"/>
      <c r="I10" s="119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19" t="s">
        <v>3</v>
      </c>
      <c r="G11" s="48">
        <v>2019</v>
      </c>
      <c r="H11" s="48">
        <v>2018</v>
      </c>
      <c r="I11" s="119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2487</v>
      </c>
      <c r="E12" s="33">
        <f>SUM(E13,E15,E16)</f>
        <v>2246</v>
      </c>
      <c r="F12" s="34">
        <f>(D12/E12)-1</f>
        <v>0.10730186999109526</v>
      </c>
      <c r="G12" s="33">
        <f>SUM(G13,G15,G16)</f>
        <v>14658</v>
      </c>
      <c r="H12" s="33">
        <f>SUM(H13,H15,H16)</f>
        <v>12973</v>
      </c>
      <c r="I12" s="34">
        <f>(G12/H12)-1</f>
        <v>0.12988514607261226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Statistics'!I3</f>
        <v>2377</v>
      </c>
      <c r="E13" s="36">
        <f>'2018 Statistics'!I3</f>
        <v>2136</v>
      </c>
      <c r="F13" s="37">
        <f>(D13/E13)-1</f>
        <v>0.11282771535580527</v>
      </c>
      <c r="G13" s="36">
        <f>SUM('2019 Statistics'!C3:I3)</f>
        <v>13609</v>
      </c>
      <c r="H13" s="36">
        <f>SUM('2018 Statistics'!C3:I3)</f>
        <v>11969</v>
      </c>
      <c r="I13" s="37">
        <f>(G13/H13)-1</f>
        <v>0.13702063664466535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Statistics'!I4</f>
        <v>2377</v>
      </c>
      <c r="E14" s="3">
        <f>'2018 Statistics'!I4</f>
        <v>2136</v>
      </c>
      <c r="F14" s="29">
        <f>(D14/E14)-1</f>
        <v>0.11282771535580527</v>
      </c>
      <c r="G14" s="3">
        <f>SUM('2019 Statistics'!C4:I4)</f>
        <v>13609</v>
      </c>
      <c r="H14" s="47">
        <f>SUM('2018 Statistics'!C3:I3)</f>
        <v>11969</v>
      </c>
      <c r="I14" s="29">
        <f>(G14/H14)-1</f>
        <v>0.13702063664466535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Statistics'!I5</f>
        <v>0</v>
      </c>
      <c r="E15" s="36">
        <f>'2018 Statistics'!I5</f>
        <v>0</v>
      </c>
      <c r="F15" s="28">
        <v>1</v>
      </c>
      <c r="G15" s="36">
        <f>SUM('2019 Statistics'!C5:I5)</f>
        <v>275</v>
      </c>
      <c r="H15" s="36">
        <f>SUM('2018 Statistics'!C5:I5)</f>
        <v>482</v>
      </c>
      <c r="I15" s="28">
        <f t="shared" ref="I15:I16" si="0">(G15/H15)-1</f>
        <v>-0.4294605809128631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Statistics'!I8</f>
        <v>110</v>
      </c>
      <c r="E16" s="36">
        <f>'2018 Statistics'!I8</f>
        <v>110</v>
      </c>
      <c r="F16" s="28">
        <f t="shared" ref="F16" si="1">(D16/E16)-1</f>
        <v>0</v>
      </c>
      <c r="G16" s="36">
        <f>SUM('2019 Statistics'!C8:I8)</f>
        <v>774</v>
      </c>
      <c r="H16" s="36">
        <f>SUM('2018 Statistics'!C8:I8)</f>
        <v>522</v>
      </c>
      <c r="I16" s="28">
        <f t="shared" si="0"/>
        <v>0.48275862068965525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2465</v>
      </c>
      <c r="E18" s="33">
        <f>SUM(E19,E21,E22)</f>
        <v>2278</v>
      </c>
      <c r="F18" s="34">
        <f>(D18/E18)-1</f>
        <v>8.2089552238805874E-2</v>
      </c>
      <c r="G18" s="33">
        <f>SUM(G19,G21,G22)</f>
        <v>14686</v>
      </c>
      <c r="H18" s="33">
        <f>SUM(H19,H21,H22)</f>
        <v>12930</v>
      </c>
      <c r="I18" s="34">
        <f>(G18/H18)-1</f>
        <v>0.13580819798917254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Statistics'!I11</f>
        <v>2355</v>
      </c>
      <c r="E19" s="36">
        <f>'2018 Statistics'!I11</f>
        <v>2177</v>
      </c>
      <c r="F19" s="37">
        <f>(D19/E19)-1</f>
        <v>8.1763895268718523E-2</v>
      </c>
      <c r="G19" s="36">
        <f>SUM('2019 Statistics'!C11:I11)</f>
        <v>13656</v>
      </c>
      <c r="H19" s="36">
        <f>SUM('2018 Statistics'!C11:I11)</f>
        <v>11918</v>
      </c>
      <c r="I19" s="37">
        <f>(G19/H19)-1</f>
        <v>0.14582983722101028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Statistics'!I12</f>
        <v>2355</v>
      </c>
      <c r="E20" s="3">
        <f>'2018 Statistics'!I12</f>
        <v>2177</v>
      </c>
      <c r="F20" s="29">
        <f>(D20/E20)-1</f>
        <v>8.1763895268718523E-2</v>
      </c>
      <c r="G20" s="47">
        <f>SUM('2019 Statistics'!C12:I12)</f>
        <v>13656</v>
      </c>
      <c r="H20" s="47">
        <f>SUM('2018 Statistics'!C12:I12)</f>
        <v>11918</v>
      </c>
      <c r="I20" s="29">
        <f>(G20/H20)-1</f>
        <v>0.14582983722101028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Statistics'!I13</f>
        <v>0</v>
      </c>
      <c r="E21" s="36">
        <f>'2018 Statistics'!I13</f>
        <v>0</v>
      </c>
      <c r="F21" s="28">
        <v>1</v>
      </c>
      <c r="G21" s="36">
        <f>SUM('2019 Statistics'!C13:I13)</f>
        <v>274</v>
      </c>
      <c r="H21" s="36">
        <f>SUM('2018 Statistics'!C13:I13)</f>
        <v>481</v>
      </c>
      <c r="I21" s="28">
        <f t="shared" ref="I21:I22" si="2">(G21/H21)-1</f>
        <v>-0.43035343035343032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Statistics'!I16</f>
        <v>110</v>
      </c>
      <c r="E22" s="36">
        <f>'2018 Statistics'!I16</f>
        <v>101</v>
      </c>
      <c r="F22" s="28">
        <f t="shared" ref="F22" si="3">(D22/E22)-1</f>
        <v>8.9108910891089188E-2</v>
      </c>
      <c r="G22" s="36">
        <f>SUM('2019 Statistics'!C16:I16)</f>
        <v>756</v>
      </c>
      <c r="H22" s="36">
        <f>SUM('2018 Statistics'!C16:I16)</f>
        <v>531</v>
      </c>
      <c r="I22" s="28">
        <f t="shared" si="2"/>
        <v>0.42372881355932202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4952</v>
      </c>
      <c r="E24" s="33">
        <f>SUM(E12,E18)</f>
        <v>4524</v>
      </c>
      <c r="F24" s="34">
        <f>(D24/E24)-1</f>
        <v>9.4606542882404998E-2</v>
      </c>
      <c r="G24" s="33">
        <f>SUM(G18,G12)</f>
        <v>29344</v>
      </c>
      <c r="H24" s="33">
        <f>SUM(H18,H12)</f>
        <v>25903</v>
      </c>
      <c r="I24" s="34">
        <f>(G24/H24)-1</f>
        <v>0.13284175578118362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6400</v>
      </c>
      <c r="E26" s="41">
        <f>SUM(E27:E28)</f>
        <v>5100</v>
      </c>
      <c r="F26" s="42">
        <f>(D26/E26)-1</f>
        <v>0.25490196078431371</v>
      </c>
      <c r="G26" s="41">
        <f>SUM(G27:G28)</f>
        <v>41950</v>
      </c>
      <c r="H26" s="41">
        <f>SUM(H27:H28)</f>
        <v>39350</v>
      </c>
      <c r="I26" s="42">
        <f>(G26/H26)-1</f>
        <v>6.6073697585768754E-2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Statistics'!I21</f>
        <v>6400</v>
      </c>
      <c r="E27" s="3">
        <f>'2018 Statistics'!I21</f>
        <v>5100</v>
      </c>
      <c r="F27" s="29">
        <f>(D27/E27)-1</f>
        <v>0.25490196078431371</v>
      </c>
      <c r="G27" s="3">
        <f>SUM('2019 Statistics'!C21:I21)</f>
        <v>41350</v>
      </c>
      <c r="H27" s="3">
        <f>SUM('2018 Statistics'!C21:I21)</f>
        <v>37850</v>
      </c>
      <c r="I27" s="29">
        <f>(G27/H27)-1</f>
        <v>9.2470277410832136E-2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Statistics'!I22</f>
        <v>0</v>
      </c>
      <c r="E28" s="3">
        <f>'2018 Statistics'!I22</f>
        <v>0</v>
      </c>
      <c r="F28" s="26">
        <v>1</v>
      </c>
      <c r="G28" s="3">
        <f>SUM('2019 Statistics'!C22:I22)</f>
        <v>600</v>
      </c>
      <c r="H28" s="3">
        <f>SUM('2018 Statistics'!C22:I22)</f>
        <v>1500</v>
      </c>
      <c r="I28" s="29">
        <f>(G28/H28)-1</f>
        <v>-0.6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'2019 Statistics'!I24</f>
        <v>0.739375</v>
      </c>
      <c r="E30" s="43">
        <f>'2018 Statistics'!I24</f>
        <v>0.84568627450980394</v>
      </c>
      <c r="F30" s="42">
        <f>D30-E30</f>
        <v>-0.10631127450980393</v>
      </c>
      <c r="G30" s="43">
        <f>G24/G26</f>
        <v>0.69949940405244337</v>
      </c>
      <c r="H30" s="43">
        <f>(H24/H26)</f>
        <v>0.65827191867852608</v>
      </c>
      <c r="I30" s="42">
        <f>G30-H30</f>
        <v>4.1227485373917294E-2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0.739375</v>
      </c>
      <c r="E31" s="26">
        <f>'2018 Statistics'!I25</f>
        <v>0.84568627450980394</v>
      </c>
      <c r="F31" s="29">
        <f>D31-E31</f>
        <v>-0.10631127450980393</v>
      </c>
      <c r="G31" s="26">
        <f>(SUM(G13,G19)/G27)</f>
        <v>0.65937122128174119</v>
      </c>
      <c r="H31" s="26">
        <f>(SUM(H13,H19)/H27)</f>
        <v>0.63109643328929987</v>
      </c>
      <c r="I31" s="109">
        <f>G31-H31</f>
        <v>2.8274787992441319E-2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116" t="s">
        <v>33</v>
      </c>
      <c r="E32" s="26" t="str">
        <f>'2018 Statistics'!I26</f>
        <v>N/A</v>
      </c>
      <c r="F32" s="113" t="s">
        <v>33</v>
      </c>
      <c r="G32" s="26">
        <f>SUM(G21,G15)/G28</f>
        <v>0.91500000000000004</v>
      </c>
      <c r="H32" s="26">
        <f>SUM(H21,H15)/H28</f>
        <v>0.64200000000000002</v>
      </c>
      <c r="I32" s="29">
        <f>G32-H32</f>
        <v>0.27300000000000002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Statistics'!I28</f>
        <v>1</v>
      </c>
      <c r="E34" s="44">
        <f>'2018 Statistics'!I28</f>
        <v>0.98076923076923073</v>
      </c>
      <c r="F34" s="42">
        <v>0.02</v>
      </c>
      <c r="G34" s="121">
        <f>SUM('2019 Statistics'!C30:I30)/SUM('2019 Statistics'!C29:I29)</f>
        <v>0.97179788484136309</v>
      </c>
      <c r="H34" s="34">
        <f>SUM('2018 Statistics'!C30:I30)/SUM('2018 Statistics'!C29:I29)</f>
        <v>0.98311688311688317</v>
      </c>
      <c r="I34" s="42">
        <v>-0.01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Statistics'!I32</f>
        <v>124317</v>
      </c>
      <c r="E36" s="33">
        <f>'2018 Statistics'!I32</f>
        <v>96888</v>
      </c>
      <c r="F36" s="42">
        <f>(D36/E36)-1</f>
        <v>0.28310007431260842</v>
      </c>
      <c r="G36" s="46">
        <f>SUM(G37:G43)</f>
        <v>794850</v>
      </c>
      <c r="H36" s="33">
        <f>SUM(H37:H43)</f>
        <v>668499</v>
      </c>
      <c r="I36" s="42">
        <f>(G36/H36)-1</f>
        <v>0.18900701422141242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Statistics'!I33</f>
        <v>56104</v>
      </c>
      <c r="E37" s="96">
        <f>'2018 Statistics'!I33</f>
        <v>45800</v>
      </c>
      <c r="F37" s="98">
        <f>(D37/E37)-1</f>
        <v>0.22497816593886455</v>
      </c>
      <c r="G37" s="96">
        <f>SUM('2019 Statistics'!C33:I33)</f>
        <v>343060</v>
      </c>
      <c r="H37" s="96">
        <f>SUM('2018 Statistics'!C33:I33)</f>
        <v>304476</v>
      </c>
      <c r="I37" s="98">
        <f>(G37/H37)-1</f>
        <v>0.12672263166883435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Statistics'!I34</f>
        <v>0</v>
      </c>
      <c r="E38" s="96">
        <f>'2018 Statistics'!I34</f>
        <v>0</v>
      </c>
      <c r="F38" s="109" t="s">
        <v>33</v>
      </c>
      <c r="G38" s="96">
        <f>SUM('2019 Statistics'!C34:I34)</f>
        <v>685</v>
      </c>
      <c r="H38" s="96">
        <f>SUM('2018 Statistics'!C34:I34)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Statistics'!I35</f>
        <v>19418</v>
      </c>
      <c r="E39" s="96">
        <f>'2018 Statistics'!I35</f>
        <v>13390</v>
      </c>
      <c r="F39" s="98">
        <f t="shared" ref="F39:F41" si="5">(D39/E39)-1</f>
        <v>0.45018670649738612</v>
      </c>
      <c r="G39" s="96">
        <f>SUM('2019 Statistics'!C35:I35)</f>
        <v>103063</v>
      </c>
      <c r="H39" s="96">
        <f>SUM('2018 Statistics'!C35:I35)</f>
        <v>61106</v>
      </c>
      <c r="I39" s="98">
        <f t="shared" si="4"/>
        <v>0.68662651785422057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Statistics'!I36</f>
        <v>0</v>
      </c>
      <c r="E40" s="96">
        <f>'2018 Statistics'!I36</f>
        <v>0</v>
      </c>
      <c r="F40" s="109" t="s">
        <v>33</v>
      </c>
      <c r="G40" s="96">
        <f>SUM('2019 Statistics'!C36:I36)</f>
        <v>0</v>
      </c>
      <c r="H40" s="96">
        <f>SUM('2018 Statistics'!C36:I36)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Statistics'!I37</f>
        <v>48795</v>
      </c>
      <c r="E41" s="96">
        <f>'2018 Statistics'!I37</f>
        <v>37698</v>
      </c>
      <c r="F41" s="98">
        <f t="shared" si="5"/>
        <v>0.29436574884609268</v>
      </c>
      <c r="G41" s="96">
        <f>SUM('2019 Statistics'!C37:I37)</f>
        <v>348042</v>
      </c>
      <c r="H41" s="96">
        <f>SUM('2018 Statistics'!C37:I37)</f>
        <v>300935</v>
      </c>
      <c r="I41" s="98">
        <f t="shared" si="4"/>
        <v>0.15653546446907129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Statistics'!I38</f>
        <v>0</v>
      </c>
      <c r="E42" s="96">
        <f>'2018 Statistics'!I38</f>
        <v>0</v>
      </c>
      <c r="F42" s="109" t="s">
        <v>33</v>
      </c>
      <c r="G42" s="96">
        <f>SUM('2019 Statistics'!C38:I38)</f>
        <v>0</v>
      </c>
      <c r="H42" s="96">
        <f>SUM('2018 Statistics'!C38:I38)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Statistics'!I39</f>
        <v>0</v>
      </c>
      <c r="E43" s="96">
        <f>'2018 Statistics'!I39</f>
        <v>0</v>
      </c>
      <c r="F43" s="109" t="s">
        <v>33</v>
      </c>
      <c r="G43" s="96">
        <f>SUM('2019 Statistics'!C39:I39)</f>
        <v>0</v>
      </c>
      <c r="H43" s="96">
        <f>SUM('2018 Statistics'!C39:I39)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Statistics'!I41</f>
        <v>4099218</v>
      </c>
      <c r="E45" s="46">
        <f>'2018 Statistics'!I41</f>
        <v>3560249</v>
      </c>
      <c r="F45" s="42">
        <f>(D45/E45)-1</f>
        <v>0.15138519805777628</v>
      </c>
      <c r="G45" s="46">
        <f>SUM('2019 Statistics'!C41:I41)</f>
        <v>27617353</v>
      </c>
      <c r="H45" s="46">
        <f>SUM('2018 Statistics'!C41:I41)</f>
        <v>25730310</v>
      </c>
      <c r="I45" s="42">
        <f>(G45/H45)-1</f>
        <v>7.3339302946602736E-2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0A7E7-DEEB-4217-AFB5-538C47CC688A}">
  <sheetPr>
    <pageSetUpPr fitToPage="1"/>
  </sheetPr>
  <dimension ref="A1:L52"/>
  <sheetViews>
    <sheetView zoomScaleNormal="100" workbookViewId="0">
      <selection activeCell="K25" sqref="K25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64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</row>
    <row r="10" spans="1:12" ht="16.5" customHeight="1" x14ac:dyDescent="0.25">
      <c r="B10" s="136"/>
      <c r="C10" s="136"/>
      <c r="D10" s="132" t="s">
        <v>0</v>
      </c>
      <c r="E10" s="132"/>
      <c r="F10" s="122" t="s">
        <v>1</v>
      </c>
      <c r="G10" s="132" t="s">
        <v>2</v>
      </c>
      <c r="H10" s="132"/>
      <c r="I10" s="122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22" t="s">
        <v>3</v>
      </c>
      <c r="G11" s="48">
        <v>2019</v>
      </c>
      <c r="H11" s="48">
        <v>2018</v>
      </c>
      <c r="I11" s="122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2211</v>
      </c>
      <c r="E12" s="33">
        <f>SUM(E13,E15,E16)</f>
        <v>2267</v>
      </c>
      <c r="F12" s="34">
        <f>(D12/E12)-1</f>
        <v>-2.4702249669166343E-2</v>
      </c>
      <c r="G12" s="33">
        <f>SUM(G13,G15,G16)</f>
        <v>16869</v>
      </c>
      <c r="H12" s="33">
        <f>SUM(H13,H15,H16)</f>
        <v>15240</v>
      </c>
      <c r="I12" s="34">
        <f>(G12/H12)-1</f>
        <v>0.10688976377952764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Statistics'!J3</f>
        <v>2123</v>
      </c>
      <c r="E13" s="36">
        <f>'2018 Statistics'!J3</f>
        <v>2094</v>
      </c>
      <c r="F13" s="37">
        <f>(D13/E13)-1</f>
        <v>1.384909264565426E-2</v>
      </c>
      <c r="G13" s="36">
        <f>SUM('2019 Statistics'!C3:J3)</f>
        <v>15732</v>
      </c>
      <c r="H13" s="36">
        <f>SUM('2018 Statistics'!C3:J3)</f>
        <v>14063</v>
      </c>
      <c r="I13" s="37">
        <f>(G13/H13)-1</f>
        <v>0.11868022470312156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Statistics'!J4</f>
        <v>2123</v>
      </c>
      <c r="E14" s="3">
        <f>'2018 Statistics'!J4</f>
        <v>2094</v>
      </c>
      <c r="F14" s="29">
        <f>(D14/E14)-1</f>
        <v>1.384909264565426E-2</v>
      </c>
      <c r="G14" s="3">
        <f>SUM('2019 Statistics'!C4:J4)</f>
        <v>15732</v>
      </c>
      <c r="H14" s="47">
        <f>SUM('2018 Statistics'!C3:J3)</f>
        <v>14063</v>
      </c>
      <c r="I14" s="29">
        <f>(G14/H14)-1</f>
        <v>0.11868022470312156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Statistics'!J5</f>
        <v>0</v>
      </c>
      <c r="E15" s="36">
        <f>'2018 Statistics'!J5</f>
        <v>99</v>
      </c>
      <c r="F15" s="28">
        <v>1</v>
      </c>
      <c r="G15" s="36">
        <f>SUM('2019 Statistics'!C5:J5)</f>
        <v>275</v>
      </c>
      <c r="H15" s="36">
        <f>SUM('2018 Statistics'!C5:J5)</f>
        <v>581</v>
      </c>
      <c r="I15" s="28">
        <f t="shared" ref="I15:I16" si="0">(G15/H15)-1</f>
        <v>-0.52667814113597244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Statistics'!J8</f>
        <v>88</v>
      </c>
      <c r="E16" s="36">
        <f>'2018 Statistics'!J8</f>
        <v>74</v>
      </c>
      <c r="F16" s="28">
        <f t="shared" ref="F16" si="1">(D16/E16)-1</f>
        <v>0.18918918918918926</v>
      </c>
      <c r="G16" s="36">
        <f>SUM('2019 Statistics'!C8:J8)</f>
        <v>862</v>
      </c>
      <c r="H16" s="36">
        <f>SUM('2018 Statistics'!C8:J8)</f>
        <v>596</v>
      </c>
      <c r="I16" s="28">
        <f t="shared" si="0"/>
        <v>0.44630872483221484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2110</v>
      </c>
      <c r="E18" s="33">
        <f>SUM(E19,E21,E22)</f>
        <v>2187</v>
      </c>
      <c r="F18" s="34">
        <f>(D18/E18)-1</f>
        <v>-3.5208047553726529E-2</v>
      </c>
      <c r="G18" s="33">
        <f>SUM(G19,G21,G22)</f>
        <v>16796</v>
      </c>
      <c r="H18" s="33">
        <f>SUM(H19,H21,H22)</f>
        <v>15117</v>
      </c>
      <c r="I18" s="34">
        <f>(G18/H18)-1</f>
        <v>0.11106701065026137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Statistics'!J11</f>
        <v>2022</v>
      </c>
      <c r="E19" s="36">
        <f>'2018 Statistics'!J11</f>
        <v>2010</v>
      </c>
      <c r="F19" s="37">
        <f>(D19/E19)-1</f>
        <v>5.9701492537314049E-3</v>
      </c>
      <c r="G19" s="36">
        <f>SUM('2019 Statistics'!C11:J11)</f>
        <v>15678</v>
      </c>
      <c r="H19" s="36">
        <f>SUM('2018 Statistics'!C11:J11)</f>
        <v>13928</v>
      </c>
      <c r="I19" s="37">
        <f>(G19/H19)-1</f>
        <v>0.12564618035611708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Statistics'!J12</f>
        <v>2022</v>
      </c>
      <c r="E20" s="3">
        <f>'2018 Statistics'!J12</f>
        <v>2010</v>
      </c>
      <c r="F20" s="29">
        <f>(D20/E20)-1</f>
        <v>5.9701492537314049E-3</v>
      </c>
      <c r="G20" s="47">
        <f>SUM('2019 Statistics'!C12:J12)</f>
        <v>15678</v>
      </c>
      <c r="H20" s="47">
        <f>SUM('2018 Statistics'!C12:J12)</f>
        <v>13928</v>
      </c>
      <c r="I20" s="29">
        <f>(G20/H20)-1</f>
        <v>0.12564618035611708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Statistics'!J13</f>
        <v>0</v>
      </c>
      <c r="E21" s="36">
        <f>'2018 Statistics'!J13</f>
        <v>99</v>
      </c>
      <c r="F21" s="28">
        <v>1</v>
      </c>
      <c r="G21" s="36">
        <f>SUM('2019 Statistics'!C13:J13)</f>
        <v>274</v>
      </c>
      <c r="H21" s="36">
        <f>SUM('2018 Statistics'!C13:J13)</f>
        <v>580</v>
      </c>
      <c r="I21" s="28">
        <f t="shared" ref="I21:I22" si="2">(G21/H21)-1</f>
        <v>-0.52758620689655178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Statistics'!J16</f>
        <v>88</v>
      </c>
      <c r="E22" s="36">
        <f>'2018 Statistics'!J16</f>
        <v>78</v>
      </c>
      <c r="F22" s="28">
        <f t="shared" ref="F22" si="3">(D22/E22)-1</f>
        <v>0.12820512820512819</v>
      </c>
      <c r="G22" s="36">
        <f>SUM('2019 Statistics'!C16:J16)</f>
        <v>844</v>
      </c>
      <c r="H22" s="36">
        <f>SUM('2018 Statistics'!C16:J16)</f>
        <v>609</v>
      </c>
      <c r="I22" s="28">
        <f t="shared" si="2"/>
        <v>0.38587848932676527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4321</v>
      </c>
      <c r="E24" s="33">
        <f>SUM(E12,E18)</f>
        <v>4454</v>
      </c>
      <c r="F24" s="34">
        <f>(D24/E24)-1</f>
        <v>-2.9860799281544725E-2</v>
      </c>
      <c r="G24" s="33">
        <f>SUM(G18,G12)</f>
        <v>33665</v>
      </c>
      <c r="H24" s="33">
        <f>SUM(H18,H12)</f>
        <v>30357</v>
      </c>
      <c r="I24" s="34">
        <f>(G24/H24)-1</f>
        <v>0.10896992456435095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6100</v>
      </c>
      <c r="E26" s="41">
        <f>SUM(E27:E28)</f>
        <v>6100</v>
      </c>
      <c r="F26" s="42">
        <f>(D26/E26)-1</f>
        <v>0</v>
      </c>
      <c r="G26" s="41">
        <f>SUM(G27:G28)</f>
        <v>48050</v>
      </c>
      <c r="H26" s="41">
        <f>SUM(H27:H28)</f>
        <v>45450</v>
      </c>
      <c r="I26" s="42">
        <f>(G26/H26)-1</f>
        <v>5.7205720572057306E-2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Statistics'!J21</f>
        <v>6100</v>
      </c>
      <c r="E27" s="3">
        <f>'2018 Statistics'!J21</f>
        <v>5800</v>
      </c>
      <c r="F27" s="29">
        <f>(D27/E27)-1</f>
        <v>5.1724137931034475E-2</v>
      </c>
      <c r="G27" s="3">
        <f>SUM('2019 Statistics'!C21:J21)</f>
        <v>47450</v>
      </c>
      <c r="H27" s="3">
        <f>SUM('2018 Statistics'!C21:J21)</f>
        <v>43650</v>
      </c>
      <c r="I27" s="29">
        <f>(G27/H27)-1</f>
        <v>8.7056128293241608E-2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Statistics'!J22</f>
        <v>0</v>
      </c>
      <c r="E28" s="3">
        <f>'2018 Statistics'!J22</f>
        <v>300</v>
      </c>
      <c r="F28" s="26">
        <v>1</v>
      </c>
      <c r="G28" s="3">
        <f>SUM('2019 Statistics'!C22:J22)</f>
        <v>600</v>
      </c>
      <c r="H28" s="3">
        <f>SUM('2018 Statistics'!C22:J22)</f>
        <v>1800</v>
      </c>
      <c r="I28" s="29">
        <f>(G28/H28)-1</f>
        <v>-0.66666666666666674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'2019 Statistics'!I24</f>
        <v>0.739375</v>
      </c>
      <c r="E30" s="43">
        <f>'2018 Statistics'!I24</f>
        <v>0.84568627450980394</v>
      </c>
      <c r="F30" s="42">
        <f>D30-E30</f>
        <v>-0.10631127450980393</v>
      </c>
      <c r="G30" s="43">
        <f>G24/G26</f>
        <v>0.70062434963579601</v>
      </c>
      <c r="H30" s="43">
        <f>(H24/H26)</f>
        <v>0.66792079207920796</v>
      </c>
      <c r="I30" s="42">
        <f>G30-H30</f>
        <v>3.2703557556588048E-2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0.67950819672131146</v>
      </c>
      <c r="E31" s="26">
        <f>'2018 Statistics'!J25</f>
        <v>0.70758620689655172</v>
      </c>
      <c r="F31" s="29">
        <f>D31-E31</f>
        <v>-2.8078010175240253E-2</v>
      </c>
      <c r="G31" s="26">
        <f>(SUM(G13,G19)/G27)</f>
        <v>0.66195995785036876</v>
      </c>
      <c r="H31" s="26">
        <f>(SUM(H13,H19)/H27)</f>
        <v>0.64126002290950745</v>
      </c>
      <c r="I31" s="109">
        <f>G31-H31</f>
        <v>2.0699934940861309E-2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116" t="s">
        <v>33</v>
      </c>
      <c r="E32" s="26">
        <f>(SUM(E15,E21)/E28)</f>
        <v>0.66</v>
      </c>
      <c r="F32" s="113" t="s">
        <v>33</v>
      </c>
      <c r="G32" s="26">
        <f>SUM(G21,G15)/G28</f>
        <v>0.91500000000000004</v>
      </c>
      <c r="H32" s="26">
        <f>SUM(H21,H15)/H28</f>
        <v>0.64500000000000002</v>
      </c>
      <c r="I32" s="29">
        <f>G32-H32</f>
        <v>0.27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Statistics'!J28</f>
        <v>0.9838709677419355</v>
      </c>
      <c r="E34" s="44">
        <f>'2018 Statistics'!J28</f>
        <v>1</v>
      </c>
      <c r="F34" s="42">
        <v>-0.02</v>
      </c>
      <c r="G34" s="121">
        <f>SUM('2019 Statistics'!C30:J30)/SUM('2019 Statistics'!C29:J29)</f>
        <v>0.97333333333333338</v>
      </c>
      <c r="H34" s="34">
        <f>SUM('2018 Statistics'!C30:J30)/SUM('2018 Statistics'!C29:J29)</f>
        <v>0.98532731376975169</v>
      </c>
      <c r="I34" s="42">
        <f>(G34/H34)-1</f>
        <v>-1.2172584956090082E-2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Statistics'!J32</f>
        <v>111005</v>
      </c>
      <c r="E36" s="33">
        <f>'2018 Statistics'!J32</f>
        <v>121334</v>
      </c>
      <c r="F36" s="42">
        <f>(D36/E36)-1</f>
        <v>-8.5128653139268429E-2</v>
      </c>
      <c r="G36" s="46">
        <f>SUM(G37:G43)</f>
        <v>905855</v>
      </c>
      <c r="H36" s="33">
        <f>SUM(H37:H43)</f>
        <v>789833</v>
      </c>
      <c r="I36" s="42">
        <f>(G36/H36)-1</f>
        <v>0.1468943434878005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Statistics'!J33</f>
        <v>55967</v>
      </c>
      <c r="E37" s="96">
        <f>'2018 Statistics'!J33</f>
        <v>49756</v>
      </c>
      <c r="F37" s="98">
        <f>(D37/E37)-1</f>
        <v>0.12482916633169872</v>
      </c>
      <c r="G37" s="96">
        <f>SUM('2019 Statistics'!C33:J33)</f>
        <v>399027</v>
      </c>
      <c r="H37" s="96">
        <f>SUM('2018 Statistics'!C33:J33)</f>
        <v>354232</v>
      </c>
      <c r="I37" s="98">
        <f>(G37/H37)-1</f>
        <v>0.12645667246324432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Statistics'!J34</f>
        <v>0</v>
      </c>
      <c r="E38" s="96">
        <f>'2018 Statistics'!J34</f>
        <v>0</v>
      </c>
      <c r="F38" s="109" t="s">
        <v>33</v>
      </c>
      <c r="G38" s="96">
        <f>SUM('2019 Statistics'!C34:J34)</f>
        <v>685</v>
      </c>
      <c r="H38" s="96">
        <f>SUM('2018 Statistics'!C34:J34)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Statistics'!J35</f>
        <v>5311</v>
      </c>
      <c r="E39" s="96">
        <f>'2018 Statistics'!J35</f>
        <v>16765</v>
      </c>
      <c r="F39" s="98">
        <f t="shared" ref="F39:F41" si="5">(D39/E39)-1</f>
        <v>-0.68320906650760516</v>
      </c>
      <c r="G39" s="96">
        <f>SUM('2019 Statistics'!C35:J35)</f>
        <v>108374</v>
      </c>
      <c r="H39" s="96">
        <f>SUM('2018 Statistics'!C35:J35)</f>
        <v>77871</v>
      </c>
      <c r="I39" s="98">
        <f t="shared" si="4"/>
        <v>0.39171193383929825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Statistics'!J36</f>
        <v>0</v>
      </c>
      <c r="E40" s="96">
        <f>'2018 Statistics'!J36</f>
        <v>0</v>
      </c>
      <c r="F40" s="109" t="s">
        <v>33</v>
      </c>
      <c r="G40" s="96">
        <f>SUM('2019 Statistics'!C36:J36)</f>
        <v>0</v>
      </c>
      <c r="H40" s="96">
        <f>SUM('2018 Statistics'!C36:J36)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Statistics'!J37</f>
        <v>49727</v>
      </c>
      <c r="E41" s="96">
        <f>'2018 Statistics'!J37</f>
        <v>54813</v>
      </c>
      <c r="F41" s="98">
        <f t="shared" si="5"/>
        <v>-9.2788207177129545E-2</v>
      </c>
      <c r="G41" s="96">
        <f>SUM('2019 Statistics'!C37:J37)</f>
        <v>397769</v>
      </c>
      <c r="H41" s="96">
        <f>SUM('2018 Statistics'!C37:J37)</f>
        <v>355748</v>
      </c>
      <c r="I41" s="98">
        <f t="shared" si="4"/>
        <v>0.1181201299796486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Statistics'!J38</f>
        <v>0</v>
      </c>
      <c r="E42" s="96">
        <f>'2018 Statistics'!J38</f>
        <v>0</v>
      </c>
      <c r="F42" s="109" t="s">
        <v>33</v>
      </c>
      <c r="G42" s="96">
        <f>SUM('2019 Statistics'!C38:J38)</f>
        <v>0</v>
      </c>
      <c r="H42" s="96">
        <f>SUM('2018 Statistics'!C38:J38)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Statistics'!J39</f>
        <v>0</v>
      </c>
      <c r="E43" s="96">
        <f>'2018 Statistics'!J39</f>
        <v>0</v>
      </c>
      <c r="F43" s="109" t="s">
        <v>33</v>
      </c>
      <c r="G43" s="96">
        <f>SUM('2019 Statistics'!C39:J39)</f>
        <v>0</v>
      </c>
      <c r="H43" s="96">
        <f>SUM('2018 Statistics'!C39:J39)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Statistics'!J41</f>
        <v>3962739</v>
      </c>
      <c r="E45" s="46">
        <f>'2018 Statistics'!J41</f>
        <v>4100701</v>
      </c>
      <c r="F45" s="42">
        <f>(D45/E45)-1</f>
        <v>-3.3643516072008217E-2</v>
      </c>
      <c r="G45" s="46">
        <f>SUM('2019 Statistics'!C41:J41)</f>
        <v>31580092</v>
      </c>
      <c r="H45" s="46">
        <f>SUM('2018 Statistics'!C41:J41)</f>
        <v>29831011</v>
      </c>
      <c r="I45" s="42">
        <f>(G45/H45)-1</f>
        <v>5.8632977608435777E-2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43FF-1FA3-4020-867D-E709B0E74F64}">
  <sheetPr>
    <pageSetUpPr fitToPage="1"/>
  </sheetPr>
  <dimension ref="A1:L52"/>
  <sheetViews>
    <sheetView topLeftCell="A7" zoomScaleNormal="100" workbookViewId="0">
      <selection activeCell="H42" sqref="H42"/>
    </sheetView>
  </sheetViews>
  <sheetFormatPr defaultColWidth="10" defaultRowHeight="14.25" x14ac:dyDescent="0.2"/>
  <cols>
    <col min="1" max="1" width="3.140625" style="1" customWidth="1"/>
    <col min="2" max="2" width="28.5703125" style="1" customWidth="1"/>
    <col min="3" max="3" width="3" style="1" customWidth="1"/>
    <col min="4" max="4" width="12.140625" style="6" customWidth="1"/>
    <col min="5" max="5" width="12.140625" style="7" customWidth="1"/>
    <col min="6" max="6" width="10.7109375" style="1" customWidth="1"/>
    <col min="7" max="8" width="12.140625" style="1" customWidth="1"/>
    <col min="9" max="9" width="10.7109375" style="1" customWidth="1"/>
    <col min="10" max="10" width="12.42578125" style="21" customWidth="1"/>
    <col min="11" max="11" width="17" style="1" customWidth="1"/>
    <col min="12" max="12" width="10" style="1" customWidth="1"/>
    <col min="13" max="16384" width="10" style="1"/>
  </cols>
  <sheetData>
    <row r="1" spans="1:12" x14ac:dyDescent="0.2">
      <c r="A1" s="135"/>
      <c r="B1" s="135"/>
      <c r="C1" s="135"/>
      <c r="D1" s="135"/>
      <c r="E1" s="135"/>
      <c r="F1" s="135"/>
      <c r="G1" s="135"/>
      <c r="H1" s="135"/>
      <c r="I1" s="135"/>
    </row>
    <row r="2" spans="1:12" x14ac:dyDescent="0.2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">
      <c r="A3" s="135"/>
      <c r="B3" s="135"/>
      <c r="C3" s="135"/>
      <c r="D3" s="135"/>
      <c r="E3" s="135"/>
      <c r="F3" s="135"/>
      <c r="G3" s="135"/>
      <c r="H3" s="135"/>
      <c r="I3" s="135"/>
    </row>
    <row r="4" spans="1:12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x14ac:dyDescent="0.2">
      <c r="A6" s="133" t="s">
        <v>65</v>
      </c>
      <c r="B6" s="134"/>
      <c r="C6" s="134"/>
      <c r="D6" s="134"/>
      <c r="E6" s="134"/>
      <c r="F6" s="134"/>
      <c r="G6" s="134"/>
      <c r="H6" s="134"/>
      <c r="I6" s="134"/>
    </row>
    <row r="7" spans="1:12" ht="29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</row>
    <row r="8" spans="1:12" ht="6.75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</row>
    <row r="10" spans="1:12" ht="16.5" customHeight="1" x14ac:dyDescent="0.25">
      <c r="B10" s="136"/>
      <c r="C10" s="136"/>
      <c r="D10" s="132" t="s">
        <v>0</v>
      </c>
      <c r="E10" s="132"/>
      <c r="F10" s="124" t="s">
        <v>1</v>
      </c>
      <c r="G10" s="132" t="s">
        <v>2</v>
      </c>
      <c r="H10" s="132"/>
      <c r="I10" s="124" t="s">
        <v>1</v>
      </c>
    </row>
    <row r="11" spans="1:12" ht="20.25" customHeight="1" x14ac:dyDescent="0.25">
      <c r="B11" s="136"/>
      <c r="C11" s="136"/>
      <c r="D11" s="48">
        <v>2019</v>
      </c>
      <c r="E11" s="48">
        <v>2018</v>
      </c>
      <c r="F11" s="124" t="s">
        <v>3</v>
      </c>
      <c r="G11" s="48">
        <v>2019</v>
      </c>
      <c r="H11" s="48">
        <v>2018</v>
      </c>
      <c r="I11" s="124" t="s">
        <v>3</v>
      </c>
    </row>
    <row r="12" spans="1:12" s="2" customFormat="1" ht="13.5" x14ac:dyDescent="0.2">
      <c r="A12" s="32" t="s">
        <v>4</v>
      </c>
      <c r="B12" s="32"/>
      <c r="C12" s="32"/>
      <c r="D12" s="33">
        <f>SUM(D13,D15,D16)</f>
        <v>2185</v>
      </c>
      <c r="E12" s="33">
        <f>SUM(E13,E15,E16)</f>
        <v>2003</v>
      </c>
      <c r="F12" s="34">
        <f>(D12/E12)-1</f>
        <v>9.0863704443334914E-2</v>
      </c>
      <c r="G12" s="33">
        <f>SUM(G13,G15,G16)</f>
        <v>19054</v>
      </c>
      <c r="H12" s="33">
        <f>SUM(H13,H15,H16)</f>
        <v>17243</v>
      </c>
      <c r="I12" s="34">
        <f>(G12/H12)-1</f>
        <v>0.10502812735602851</v>
      </c>
      <c r="J12" s="22"/>
      <c r="K12" s="8"/>
      <c r="L12" s="8" t="s">
        <v>9</v>
      </c>
    </row>
    <row r="13" spans="1:12" s="2" customFormat="1" ht="13.5" x14ac:dyDescent="0.2">
      <c r="A13" s="35" t="s">
        <v>5</v>
      </c>
      <c r="B13" s="35"/>
      <c r="C13" s="35"/>
      <c r="D13" s="36">
        <f>'2019 Statistics'!K3</f>
        <v>1936</v>
      </c>
      <c r="E13" s="36">
        <f>'2018 Statistics'!K3</f>
        <v>1915</v>
      </c>
      <c r="F13" s="37">
        <f>(D13/E13)-1</f>
        <v>1.0966057441253341E-2</v>
      </c>
      <c r="G13" s="36">
        <f>SUM('2019 Statistics'!C3:K3)</f>
        <v>17668</v>
      </c>
      <c r="H13" s="36">
        <f>SUM('2018 Statistics'!C3:K3)</f>
        <v>15978</v>
      </c>
      <c r="I13" s="37">
        <f>(G13/H13)-1</f>
        <v>0.10577043434722744</v>
      </c>
      <c r="J13" s="22"/>
      <c r="K13" s="24"/>
      <c r="L13" s="8"/>
    </row>
    <row r="14" spans="1:12" s="2" customFormat="1" ht="13.5" x14ac:dyDescent="0.2">
      <c r="B14" s="16" t="s">
        <v>10</v>
      </c>
      <c r="C14" s="14"/>
      <c r="D14" s="3">
        <f>'2019 Statistics'!K4</f>
        <v>1936</v>
      </c>
      <c r="E14" s="3">
        <f>'2018 Statistics'!K4</f>
        <v>1915</v>
      </c>
      <c r="F14" s="29">
        <f>(D14/E14)-1</f>
        <v>1.0966057441253341E-2</v>
      </c>
      <c r="G14" s="3">
        <f>SUM('2019 Statistics'!C4:K4)</f>
        <v>17668</v>
      </c>
      <c r="H14" s="47">
        <f>SUM('2018 Statistics'!C3:K3)</f>
        <v>15978</v>
      </c>
      <c r="I14" s="29">
        <f>(G14/H14)-1</f>
        <v>0.10577043434722744</v>
      </c>
      <c r="J14" s="22"/>
      <c r="K14" s="23"/>
      <c r="L14" s="8"/>
    </row>
    <row r="15" spans="1:12" s="2" customFormat="1" ht="13.5" x14ac:dyDescent="0.2">
      <c r="A15" s="35" t="s">
        <v>31</v>
      </c>
      <c r="B15" s="38"/>
      <c r="C15" s="39"/>
      <c r="D15" s="36">
        <f>'2019 Statistics'!K5</f>
        <v>139</v>
      </c>
      <c r="E15" s="36">
        <f>'2018 Statistics'!K5</f>
        <v>0</v>
      </c>
      <c r="F15" s="28">
        <v>1</v>
      </c>
      <c r="G15" s="36">
        <f>SUM('2019 Statistics'!C5:K5)</f>
        <v>414</v>
      </c>
      <c r="H15" s="36">
        <f>SUM('2018 Statistics'!C5:K5)</f>
        <v>581</v>
      </c>
      <c r="I15" s="28">
        <f t="shared" ref="I15:I16" si="0">(G15/H15)-1</f>
        <v>-0.28743545611015486</v>
      </c>
      <c r="J15" s="22"/>
      <c r="K15" s="23"/>
      <c r="L15" s="8"/>
    </row>
    <row r="16" spans="1:12" s="2" customFormat="1" ht="13.5" x14ac:dyDescent="0.2">
      <c r="A16" s="35" t="s">
        <v>46</v>
      </c>
      <c r="B16" s="38"/>
      <c r="C16" s="39"/>
      <c r="D16" s="36">
        <f>'2019 Statistics'!K8</f>
        <v>110</v>
      </c>
      <c r="E16" s="36">
        <f>'2018 Statistics'!K8</f>
        <v>88</v>
      </c>
      <c r="F16" s="28">
        <f t="shared" ref="F16" si="1">(D16/E16)-1</f>
        <v>0.25</v>
      </c>
      <c r="G16" s="36">
        <f>SUM('2019 Statistics'!C8:K8)</f>
        <v>972</v>
      </c>
      <c r="H16" s="36">
        <f>SUM('2018 Statistics'!C8:K8)</f>
        <v>684</v>
      </c>
      <c r="I16" s="28">
        <f t="shared" si="0"/>
        <v>0.42105263157894735</v>
      </c>
      <c r="J16" s="22"/>
      <c r="K16" s="23"/>
      <c r="L16" s="8"/>
    </row>
    <row r="17" spans="1:12" s="2" customFormat="1" ht="13.5" x14ac:dyDescent="0.2">
      <c r="A17" s="35"/>
      <c r="B17" s="38"/>
      <c r="C17" s="39"/>
      <c r="D17" s="36"/>
      <c r="E17" s="36"/>
      <c r="F17" s="37"/>
      <c r="G17" s="36"/>
      <c r="H17" s="36"/>
      <c r="I17" s="37"/>
      <c r="J17" s="22"/>
      <c r="K17" s="23"/>
      <c r="L17" s="8"/>
    </row>
    <row r="18" spans="1:12" s="2" customFormat="1" ht="15.6" customHeight="1" x14ac:dyDescent="0.2">
      <c r="A18" s="32" t="s">
        <v>29</v>
      </c>
      <c r="B18" s="32"/>
      <c r="C18" s="32"/>
      <c r="D18" s="33">
        <f>SUM(D19,D21,D22)</f>
        <v>2234</v>
      </c>
      <c r="E18" s="33">
        <f>SUM(E19,E21,E22)</f>
        <v>1962</v>
      </c>
      <c r="F18" s="34">
        <f>(D18/E18)-1</f>
        <v>0.13863404689092773</v>
      </c>
      <c r="G18" s="33">
        <f>SUM(G19,G21,G22)</f>
        <v>19030</v>
      </c>
      <c r="H18" s="33">
        <f>SUM(H19,H21,H22)</f>
        <v>17079</v>
      </c>
      <c r="I18" s="34">
        <f>(G18/H18)-1</f>
        <v>0.11423385444112655</v>
      </c>
      <c r="J18" s="22"/>
      <c r="K18" s="10"/>
      <c r="L18" s="10"/>
    </row>
    <row r="19" spans="1:12" s="2" customFormat="1" ht="15.6" customHeight="1" x14ac:dyDescent="0.2">
      <c r="A19" s="35" t="s">
        <v>5</v>
      </c>
      <c r="B19" s="35"/>
      <c r="C19" s="35"/>
      <c r="D19" s="36">
        <f>'2019 Statistics'!K11</f>
        <v>1987</v>
      </c>
      <c r="E19" s="36">
        <f>'2018 Statistics'!K11</f>
        <v>1881</v>
      </c>
      <c r="F19" s="37">
        <f>(D19/E19)-1</f>
        <v>5.6353003721424821E-2</v>
      </c>
      <c r="G19" s="36">
        <f>SUM('2019 Statistics'!C11:K11)</f>
        <v>17665</v>
      </c>
      <c r="H19" s="36">
        <f>SUM('2018 Statistics'!C11:K11)</f>
        <v>15809</v>
      </c>
      <c r="I19" s="37">
        <f>(G19/H19)-1</f>
        <v>0.11740148016952379</v>
      </c>
      <c r="J19" s="22"/>
      <c r="K19" s="10"/>
      <c r="L19" s="10"/>
    </row>
    <row r="20" spans="1:12" s="2" customFormat="1" ht="15.6" customHeight="1" x14ac:dyDescent="0.2">
      <c r="B20" s="16" t="s">
        <v>10</v>
      </c>
      <c r="C20" s="14"/>
      <c r="D20" s="3">
        <f>'2019 Statistics'!K12</f>
        <v>1987</v>
      </c>
      <c r="E20" s="3">
        <f>'2018 Statistics'!K12</f>
        <v>1881</v>
      </c>
      <c r="F20" s="29">
        <f>(D20/E20)-1</f>
        <v>5.6353003721424821E-2</v>
      </c>
      <c r="G20" s="47">
        <f>SUM('2019 Statistics'!C12:K12)</f>
        <v>17665</v>
      </c>
      <c r="H20" s="47">
        <f>SUM('2018 Statistics'!C12:K12)</f>
        <v>15809</v>
      </c>
      <c r="I20" s="29">
        <f>(G20/H20)-1</f>
        <v>0.11740148016952379</v>
      </c>
      <c r="J20" s="22"/>
      <c r="K20" s="10"/>
      <c r="L20" s="10"/>
    </row>
    <row r="21" spans="1:12" s="2" customFormat="1" ht="15.6" customHeight="1" x14ac:dyDescent="0.2">
      <c r="A21" s="35" t="s">
        <v>11</v>
      </c>
      <c r="B21" s="38"/>
      <c r="C21" s="39"/>
      <c r="D21" s="36">
        <f>'2019 Statistics'!K13</f>
        <v>137</v>
      </c>
      <c r="E21" s="36">
        <f>'2018 Statistics'!K13</f>
        <v>0</v>
      </c>
      <c r="F21" s="28">
        <v>1</v>
      </c>
      <c r="G21" s="36">
        <f>SUM('2019 Statistics'!C13:K13)</f>
        <v>411</v>
      </c>
      <c r="H21" s="36">
        <f>SUM('2018 Statistics'!C13:K13)</f>
        <v>580</v>
      </c>
      <c r="I21" s="28">
        <f t="shared" ref="I21:I22" si="2">(G21/H21)-1</f>
        <v>-0.29137931034482756</v>
      </c>
      <c r="J21" s="22"/>
      <c r="K21" s="10"/>
      <c r="L21" s="10"/>
    </row>
    <row r="22" spans="1:12" s="2" customFormat="1" ht="15.6" customHeight="1" x14ac:dyDescent="0.2">
      <c r="A22" s="35" t="s">
        <v>46</v>
      </c>
      <c r="B22" s="35"/>
      <c r="C22" s="35"/>
      <c r="D22" s="36">
        <f>'2019 Statistics'!K16</f>
        <v>110</v>
      </c>
      <c r="E22" s="36">
        <f>'2018 Statistics'!K16</f>
        <v>81</v>
      </c>
      <c r="F22" s="28">
        <f t="shared" ref="F22" si="3">(D22/E22)-1</f>
        <v>0.35802469135802473</v>
      </c>
      <c r="G22" s="36">
        <f>SUM('2019 Statistics'!C16:K16)</f>
        <v>954</v>
      </c>
      <c r="H22" s="36">
        <f>SUM('2018 Statistics'!C16:K16)</f>
        <v>690</v>
      </c>
      <c r="I22" s="28">
        <f t="shared" si="2"/>
        <v>0.38260869565217392</v>
      </c>
      <c r="J22" s="22"/>
      <c r="K22" s="10"/>
      <c r="L22" s="10"/>
    </row>
    <row r="23" spans="1:12" s="2" customFormat="1" ht="15.6" customHeight="1" x14ac:dyDescent="0.2">
      <c r="A23" s="35"/>
      <c r="B23" s="35"/>
      <c r="C23" s="35"/>
      <c r="D23" s="36"/>
      <c r="E23" s="36"/>
      <c r="F23" s="37"/>
      <c r="G23" s="36"/>
      <c r="H23" s="36"/>
      <c r="I23" s="37"/>
      <c r="J23" s="22"/>
      <c r="K23" s="10"/>
      <c r="L23" s="10"/>
    </row>
    <row r="24" spans="1:12" s="2" customFormat="1" ht="15.6" customHeight="1" x14ac:dyDescent="0.2">
      <c r="A24" s="32" t="s">
        <v>30</v>
      </c>
      <c r="B24" s="32"/>
      <c r="C24" s="32"/>
      <c r="D24" s="33">
        <f>SUM(D12,D18)</f>
        <v>4419</v>
      </c>
      <c r="E24" s="33">
        <f>SUM(E12,E18)</f>
        <v>3965</v>
      </c>
      <c r="F24" s="34">
        <f>(D24/E24)-1</f>
        <v>0.11450189155107182</v>
      </c>
      <c r="G24" s="33">
        <f>SUM(G18,G12)</f>
        <v>38084</v>
      </c>
      <c r="H24" s="33">
        <f>SUM(H18,H12)</f>
        <v>34322</v>
      </c>
      <c r="I24" s="34">
        <f>(G24/H24)-1</f>
        <v>0.10960899714468852</v>
      </c>
      <c r="J24" s="22"/>
      <c r="K24" s="10"/>
      <c r="L24" s="10"/>
    </row>
    <row r="25" spans="1:12" s="2" customFormat="1" ht="15.6" customHeight="1" x14ac:dyDescent="0.2">
      <c r="A25" s="17"/>
      <c r="B25" s="17"/>
      <c r="C25" s="17"/>
      <c r="D25" s="3"/>
      <c r="E25" s="8"/>
      <c r="F25" s="25"/>
      <c r="G25" s="8"/>
      <c r="H25" s="8"/>
      <c r="I25" s="25"/>
      <c r="J25" s="22"/>
      <c r="K25" s="10"/>
      <c r="L25" s="10"/>
    </row>
    <row r="26" spans="1:12" s="2" customFormat="1" ht="15.6" customHeight="1" x14ac:dyDescent="0.2">
      <c r="A26" s="40" t="s">
        <v>13</v>
      </c>
      <c r="B26" s="40"/>
      <c r="C26" s="40"/>
      <c r="D26" s="41">
        <f>SUM(D27:D28)</f>
        <v>6300</v>
      </c>
      <c r="E26" s="41">
        <f>SUM(E27:E28)</f>
        <v>5500</v>
      </c>
      <c r="F26" s="42">
        <f>(D26/E26)-1</f>
        <v>0.1454545454545455</v>
      </c>
      <c r="G26" s="41">
        <f>SUM(G27:G28)</f>
        <v>54350</v>
      </c>
      <c r="H26" s="41">
        <f>SUM(H27:H28)</f>
        <v>50950</v>
      </c>
      <c r="I26" s="42">
        <f>(G26/H26)-1</f>
        <v>6.6732090284592704E-2</v>
      </c>
      <c r="J26" s="22"/>
      <c r="K26" s="10"/>
      <c r="L26" s="10"/>
    </row>
    <row r="27" spans="1:12" s="2" customFormat="1" ht="15" customHeight="1" x14ac:dyDescent="0.2">
      <c r="A27" s="17" t="s">
        <v>15</v>
      </c>
      <c r="B27" s="17"/>
      <c r="C27" s="17"/>
      <c r="D27" s="3">
        <f>'2019 Statistics'!K21</f>
        <v>6000</v>
      </c>
      <c r="E27" s="3">
        <f>'2018 Statistics'!K21</f>
        <v>5500</v>
      </c>
      <c r="F27" s="29">
        <f>(D27/E27)-1</f>
        <v>9.0909090909090828E-2</v>
      </c>
      <c r="G27" s="3">
        <f>SUM('2019 Statistics'!C21:K21)</f>
        <v>53450</v>
      </c>
      <c r="H27" s="3">
        <f>SUM('2018 Statistics'!C21:K21)</f>
        <v>49150</v>
      </c>
      <c r="I27" s="29">
        <f>(G27/H27)-1</f>
        <v>8.7487283825025353E-2</v>
      </c>
      <c r="J27" s="22"/>
      <c r="K27" s="9"/>
      <c r="L27" s="9"/>
    </row>
    <row r="28" spans="1:12" s="2" customFormat="1" ht="15.6" customHeight="1" x14ac:dyDescent="0.2">
      <c r="A28" s="17" t="s">
        <v>11</v>
      </c>
      <c r="B28" s="17"/>
      <c r="C28" s="17"/>
      <c r="D28" s="3">
        <f>'2019 Statistics'!K22</f>
        <v>300</v>
      </c>
      <c r="E28" s="3">
        <f>'2018 Statistics'!K22</f>
        <v>0</v>
      </c>
      <c r="F28" s="26">
        <v>1</v>
      </c>
      <c r="G28" s="3">
        <f>SUM('2019 Statistics'!C22:K22)</f>
        <v>900</v>
      </c>
      <c r="H28" s="3">
        <f>SUM('2018 Statistics'!C22:K22)</f>
        <v>1800</v>
      </c>
      <c r="I28" s="29">
        <f>(G28/H28)-1</f>
        <v>-0.5</v>
      </c>
      <c r="J28" s="22"/>
      <c r="K28" s="10"/>
      <c r="L28" s="10"/>
    </row>
    <row r="29" spans="1:12" s="2" customFormat="1" ht="15.6" customHeight="1" x14ac:dyDescent="0.2">
      <c r="A29" s="17"/>
      <c r="B29" s="17"/>
      <c r="C29" s="17"/>
      <c r="D29" s="4"/>
      <c r="E29" s="15"/>
      <c r="F29" s="28"/>
      <c r="G29" s="15"/>
      <c r="H29" s="15"/>
      <c r="I29" s="28"/>
      <c r="J29" s="22"/>
      <c r="L29" s="11"/>
    </row>
    <row r="30" spans="1:12" s="2" customFormat="1" ht="15.6" customHeight="1" x14ac:dyDescent="0.2">
      <c r="A30" s="40" t="s">
        <v>14</v>
      </c>
      <c r="B30" s="40"/>
      <c r="C30" s="40"/>
      <c r="D30" s="43">
        <f>'2019 Statistics'!K24</f>
        <v>0.66650793650793649</v>
      </c>
      <c r="E30" s="43">
        <f>'2018 Statistics'!K24</f>
        <v>0.69018181818181823</v>
      </c>
      <c r="F30" s="42">
        <f>D30-E30</f>
        <v>-2.3673881673881736E-2</v>
      </c>
      <c r="G30" s="43">
        <f>G24/G26</f>
        <v>0.70071757129714807</v>
      </c>
      <c r="H30" s="43">
        <f>(H24/H26)</f>
        <v>0.67364082433758588</v>
      </c>
      <c r="I30" s="42">
        <f>G30-H30</f>
        <v>2.7076746959562192E-2</v>
      </c>
      <c r="J30" s="22"/>
    </row>
    <row r="31" spans="1:12" s="2" customFormat="1" ht="13.9" customHeight="1" x14ac:dyDescent="0.2">
      <c r="A31" s="17" t="s">
        <v>15</v>
      </c>
      <c r="B31" s="17"/>
      <c r="C31" s="17"/>
      <c r="D31" s="26">
        <f>(SUM(D13,D19)/D27)</f>
        <v>0.65383333333333338</v>
      </c>
      <c r="E31" s="26">
        <f>'2018 Statistics'!K25</f>
        <v>0.69018181818181823</v>
      </c>
      <c r="F31" s="29">
        <f>D31-E31</f>
        <v>-3.6348484848484852E-2</v>
      </c>
      <c r="G31" s="26">
        <f>(SUM(G13,G19)/G27)</f>
        <v>0.66104770813844715</v>
      </c>
      <c r="H31" s="26">
        <f>(SUM(H13,H19)/H27)</f>
        <v>0.64673448626653107</v>
      </c>
      <c r="I31" s="109">
        <f>G31-H31</f>
        <v>1.4313221871916082E-2</v>
      </c>
      <c r="J31" s="22"/>
      <c r="K31" s="9"/>
      <c r="L31" s="9"/>
    </row>
    <row r="32" spans="1:12" s="2" customFormat="1" ht="13.9" customHeight="1" x14ac:dyDescent="0.2">
      <c r="A32" s="17" t="s">
        <v>11</v>
      </c>
      <c r="B32" s="17"/>
      <c r="C32" s="17"/>
      <c r="D32" s="26">
        <f>(SUM(D15,D21)/D28)</f>
        <v>0.92</v>
      </c>
      <c r="E32" s="26" t="e">
        <f>(SUM(E15,E21)/E28)</f>
        <v>#DIV/0!</v>
      </c>
      <c r="F32" s="113" t="s">
        <v>33</v>
      </c>
      <c r="G32" s="26">
        <f>SUM(G21,G15)/G28</f>
        <v>0.91666666666666663</v>
      </c>
      <c r="H32" s="26">
        <f>SUM(H21,H15)/H28</f>
        <v>0.64500000000000002</v>
      </c>
      <c r="I32" s="29">
        <f>G32-H32</f>
        <v>0.27166666666666661</v>
      </c>
      <c r="J32" s="22"/>
      <c r="K32" s="9"/>
      <c r="L32" s="9"/>
    </row>
    <row r="33" spans="1:12" s="2" customFormat="1" ht="13.9" customHeight="1" x14ac:dyDescent="0.2">
      <c r="A33" s="17"/>
      <c r="B33" s="17"/>
      <c r="C33" s="17"/>
      <c r="D33" s="4"/>
      <c r="E33" s="15"/>
      <c r="F33" s="28"/>
      <c r="G33" s="15"/>
      <c r="H33" s="15"/>
      <c r="I33" s="28"/>
      <c r="J33" s="22"/>
      <c r="K33" s="9"/>
      <c r="L33" s="9"/>
    </row>
    <row r="34" spans="1:12" s="2" customFormat="1" ht="13.9" customHeight="1" x14ac:dyDescent="0.2">
      <c r="A34" s="32" t="s">
        <v>17</v>
      </c>
      <c r="B34" s="32"/>
      <c r="C34" s="32"/>
      <c r="D34" s="44">
        <f>'2019 Statistics'!K28</f>
        <v>1</v>
      </c>
      <c r="E34" s="44">
        <f>'2018 Statistics'!K28</f>
        <v>1</v>
      </c>
      <c r="F34" s="42">
        <v>-0.02</v>
      </c>
      <c r="G34" s="121">
        <f>SUM('2019 Statistics'!C30:K30)/SUM('2019 Statistics'!C29:K29)</f>
        <v>0.9762557077625571</v>
      </c>
      <c r="H34" s="34">
        <f>SUM('2018 Statistics'!C30:K30)/SUM('2018 Statistics'!C29:K29)</f>
        <v>0.98694779116465858</v>
      </c>
      <c r="I34" s="42">
        <f>(G34/H34)-1</f>
        <v>-1.0833484301620677E-2</v>
      </c>
      <c r="J34" s="22"/>
      <c r="K34" s="9"/>
      <c r="L34" s="9"/>
    </row>
    <row r="35" spans="1:12" s="2" customFormat="1" ht="12.75" x14ac:dyDescent="0.2">
      <c r="A35" s="17"/>
      <c r="B35" s="17"/>
      <c r="C35" s="17"/>
      <c r="D35" s="4"/>
      <c r="E35" s="15"/>
      <c r="F35" s="28"/>
      <c r="G35" s="15"/>
      <c r="H35" s="4"/>
      <c r="I35" s="28"/>
      <c r="J35" s="22"/>
      <c r="K35" s="9"/>
      <c r="L35" s="9"/>
    </row>
    <row r="36" spans="1:12" s="2" customFormat="1" ht="13.9" customHeight="1" x14ac:dyDescent="0.2">
      <c r="A36" s="32" t="s">
        <v>34</v>
      </c>
      <c r="B36" s="32"/>
      <c r="C36" s="32"/>
      <c r="D36" s="33">
        <f>'2019 Statistics'!K32</f>
        <v>112428</v>
      </c>
      <c r="E36" s="33">
        <f>'2018 Statistics'!K32</f>
        <v>103306</v>
      </c>
      <c r="F36" s="42">
        <f>(D36/E36)-1</f>
        <v>8.8300776334385267E-2</v>
      </c>
      <c r="G36" s="46">
        <f>SUM(G37:G43)</f>
        <v>1018283</v>
      </c>
      <c r="H36" s="33">
        <f>SUM(H37:H43)</f>
        <v>893139</v>
      </c>
      <c r="I36" s="42">
        <f>(G36/H36)-1</f>
        <v>0.14011704785033463</v>
      </c>
      <c r="J36" s="22"/>
      <c r="K36" s="11"/>
      <c r="L36" s="12"/>
    </row>
    <row r="37" spans="1:12" s="97" customFormat="1" ht="13.9" customHeight="1" x14ac:dyDescent="0.2">
      <c r="A37" s="102" t="s">
        <v>18</v>
      </c>
      <c r="B37" s="102"/>
      <c r="C37" s="102"/>
      <c r="D37" s="96">
        <f>'2019 Statistics'!K33</f>
        <v>48069</v>
      </c>
      <c r="E37" s="96">
        <f>'2018 Statistics'!K33</f>
        <v>39543</v>
      </c>
      <c r="F37" s="98">
        <f>(D37/E37)-1</f>
        <v>0.21561338289962828</v>
      </c>
      <c r="G37" s="96">
        <f>SUM('2019 Statistics'!C33:K33)</f>
        <v>447096</v>
      </c>
      <c r="H37" s="96">
        <f>SUM('2018 Statistics'!C33:K33)</f>
        <v>393775</v>
      </c>
      <c r="I37" s="98">
        <f>(G37/H37)-1</f>
        <v>0.13540981524982532</v>
      </c>
      <c r="J37" s="99"/>
      <c r="K37" s="100"/>
      <c r="L37" s="101"/>
    </row>
    <row r="38" spans="1:12" s="97" customFormat="1" ht="13.9" customHeight="1" x14ac:dyDescent="0.2">
      <c r="A38" s="102" t="s">
        <v>37</v>
      </c>
      <c r="B38" s="102"/>
      <c r="C38" s="102"/>
      <c r="D38" s="96">
        <f>'2019 Statistics'!K34</f>
        <v>0</v>
      </c>
      <c r="E38" s="96">
        <f>'2018 Statistics'!K34</f>
        <v>0</v>
      </c>
      <c r="F38" s="109" t="s">
        <v>33</v>
      </c>
      <c r="G38" s="96">
        <f>SUM('2019 Statistics'!C34:K34)</f>
        <v>685</v>
      </c>
      <c r="H38" s="96">
        <f>SUM('2018 Statistics'!C34:K34)</f>
        <v>1982</v>
      </c>
      <c r="I38" s="98">
        <f t="shared" ref="I38:I41" si="4">(G38/H38)-1</f>
        <v>-0.65438950554994957</v>
      </c>
      <c r="J38" s="99"/>
      <c r="K38" s="100"/>
      <c r="L38" s="101"/>
    </row>
    <row r="39" spans="1:12" s="97" customFormat="1" ht="13.9" customHeight="1" x14ac:dyDescent="0.2">
      <c r="A39" s="102" t="s">
        <v>39</v>
      </c>
      <c r="B39" s="102"/>
      <c r="C39" s="102"/>
      <c r="D39" s="96">
        <f>'2019 Statistics'!K35</f>
        <v>22610</v>
      </c>
      <c r="E39" s="96">
        <f>'2018 Statistics'!K35</f>
        <v>20954</v>
      </c>
      <c r="F39" s="98">
        <f t="shared" ref="F39:F41" si="5">(D39/E39)-1</f>
        <v>7.9030256752887329E-2</v>
      </c>
      <c r="G39" s="96">
        <f>SUM('2019 Statistics'!C35:K35)</f>
        <v>130984</v>
      </c>
      <c r="H39" s="96">
        <f>SUM('2018 Statistics'!C35:K35)</f>
        <v>98825</v>
      </c>
      <c r="I39" s="98">
        <f t="shared" si="4"/>
        <v>0.32541360991651902</v>
      </c>
      <c r="J39" s="99"/>
      <c r="K39" s="100"/>
      <c r="L39" s="101"/>
    </row>
    <row r="40" spans="1:12" s="97" customFormat="1" ht="13.9" customHeight="1" x14ac:dyDescent="0.2">
      <c r="A40" s="102" t="s">
        <v>42</v>
      </c>
      <c r="B40" s="102"/>
      <c r="C40" s="102"/>
      <c r="D40" s="96">
        <f>'2019 Statistics'!K36</f>
        <v>0</v>
      </c>
      <c r="E40" s="96">
        <f>'2018 Statistics'!K36</f>
        <v>0</v>
      </c>
      <c r="F40" s="109" t="s">
        <v>33</v>
      </c>
      <c r="G40" s="96">
        <f>SUM('2019 Statistics'!C36:K36)</f>
        <v>0</v>
      </c>
      <c r="H40" s="96">
        <f>SUM('2018 Statistics'!C36:K36)</f>
        <v>0</v>
      </c>
      <c r="I40" s="109" t="s">
        <v>33</v>
      </c>
      <c r="J40" s="99"/>
      <c r="K40" s="100"/>
      <c r="L40" s="101"/>
    </row>
    <row r="41" spans="1:12" s="95" customFormat="1" x14ac:dyDescent="0.2">
      <c r="A41" s="102" t="s">
        <v>19</v>
      </c>
      <c r="B41" s="102"/>
      <c r="C41" s="102"/>
      <c r="D41" s="96">
        <f>'2019 Statistics'!K37</f>
        <v>41749</v>
      </c>
      <c r="E41" s="96">
        <f>'2018 Statistics'!K37</f>
        <v>42809</v>
      </c>
      <c r="F41" s="98">
        <f t="shared" si="5"/>
        <v>-2.4761148356653995E-2</v>
      </c>
      <c r="G41" s="96">
        <f>SUM('2019 Statistics'!C37:K37)</f>
        <v>439518</v>
      </c>
      <c r="H41" s="96">
        <f>SUM('2018 Statistics'!C37:K37)</f>
        <v>398557</v>
      </c>
      <c r="I41" s="98">
        <f t="shared" si="4"/>
        <v>0.10277325451566521</v>
      </c>
      <c r="J41" s="94"/>
    </row>
    <row r="42" spans="1:12" s="95" customFormat="1" x14ac:dyDescent="0.2">
      <c r="A42" s="102" t="s">
        <v>20</v>
      </c>
      <c r="B42" s="102"/>
      <c r="C42" s="102"/>
      <c r="D42" s="96">
        <f>'2019 Statistics'!K38</f>
        <v>0</v>
      </c>
      <c r="E42" s="96">
        <f>'2018 Statistics'!K38</f>
        <v>0</v>
      </c>
      <c r="F42" s="109" t="s">
        <v>33</v>
      </c>
      <c r="G42" s="96">
        <f>SUM('2019 Statistics'!C38:K38)</f>
        <v>0</v>
      </c>
      <c r="H42" s="96">
        <f>SUM('2018 Statistics'!C38:K38)</f>
        <v>0</v>
      </c>
      <c r="I42" s="109" t="s">
        <v>33</v>
      </c>
      <c r="J42" s="94"/>
    </row>
    <row r="43" spans="1:12" s="95" customFormat="1" x14ac:dyDescent="0.2">
      <c r="A43" s="102" t="s">
        <v>7</v>
      </c>
      <c r="B43" s="102"/>
      <c r="C43" s="102"/>
      <c r="D43" s="96">
        <f>'2019 Statistics'!K39</f>
        <v>0</v>
      </c>
      <c r="E43" s="96">
        <f>'2018 Statistics'!K39</f>
        <v>0</v>
      </c>
      <c r="F43" s="109" t="s">
        <v>33</v>
      </c>
      <c r="G43" s="96">
        <f>SUM('2019 Statistics'!C39:K39)</f>
        <v>0</v>
      </c>
      <c r="H43" s="96">
        <f>SUM('2018 Statistics'!C39:K39)</f>
        <v>0</v>
      </c>
      <c r="I43" s="109" t="s">
        <v>33</v>
      </c>
      <c r="J43" s="94"/>
    </row>
    <row r="44" spans="1:12" x14ac:dyDescent="0.2">
      <c r="A44" s="17"/>
      <c r="B44" s="17"/>
      <c r="C44" s="17"/>
      <c r="D44" s="18"/>
      <c r="E44" s="19"/>
      <c r="F44" s="28"/>
      <c r="G44" s="18"/>
      <c r="H44" s="18"/>
      <c r="I44" s="28"/>
    </row>
    <row r="45" spans="1:12" x14ac:dyDescent="0.2">
      <c r="A45" s="32" t="s">
        <v>41</v>
      </c>
      <c r="B45" s="32"/>
      <c r="C45" s="32"/>
      <c r="D45" s="33">
        <f>'2019 Statistics'!K41</f>
        <v>4069633</v>
      </c>
      <c r="E45" s="46">
        <f>'2018 Statistics'!K41</f>
        <v>3613854</v>
      </c>
      <c r="F45" s="42">
        <f>(D45/E45)-1</f>
        <v>0.126119926261548</v>
      </c>
      <c r="G45" s="46">
        <f>SUM('2019 Statistics'!C41:K41)</f>
        <v>35649725</v>
      </c>
      <c r="H45" s="46">
        <f>SUM('2018 Statistics'!C41:K41)</f>
        <v>33444865</v>
      </c>
      <c r="I45" s="42">
        <f>(G45/H45)-1</f>
        <v>6.5925217518444157E-2</v>
      </c>
    </row>
    <row r="46" spans="1:12" x14ac:dyDescent="0.2">
      <c r="A46" s="14"/>
      <c r="B46" s="14"/>
      <c r="C46" s="20"/>
      <c r="D46" s="5"/>
      <c r="E46" s="13"/>
      <c r="F46" s="25"/>
      <c r="G46" s="13"/>
      <c r="H46" s="13"/>
      <c r="I46" s="25"/>
    </row>
    <row r="47" spans="1:12" x14ac:dyDescent="0.2">
      <c r="A47" s="14"/>
      <c r="B47" s="14"/>
      <c r="C47" s="20"/>
      <c r="D47" s="5"/>
      <c r="E47" s="13"/>
      <c r="F47" s="25"/>
      <c r="G47" s="13"/>
      <c r="H47" s="13"/>
      <c r="I47" s="25"/>
    </row>
    <row r="48" spans="1:12" x14ac:dyDescent="0.2">
      <c r="A48" s="14"/>
      <c r="B48" s="14"/>
      <c r="C48" s="20"/>
      <c r="D48" s="5"/>
      <c r="E48" s="13"/>
      <c r="F48" s="25"/>
      <c r="G48" s="13"/>
      <c r="H48" s="13"/>
      <c r="I48" s="25"/>
    </row>
    <row r="49" spans="1:1" ht="16.5" x14ac:dyDescent="0.3">
      <c r="A49" s="30"/>
    </row>
    <row r="50" spans="1:1" hidden="1" x14ac:dyDescent="0.2">
      <c r="A50" s="2"/>
    </row>
    <row r="51" spans="1:1" x14ac:dyDescent="0.2">
      <c r="A51" s="2"/>
    </row>
    <row r="52" spans="1:1" x14ac:dyDescent="0.2">
      <c r="A52" s="2"/>
    </row>
  </sheetData>
  <mergeCells count="5">
    <mergeCell ref="A1:I5"/>
    <mergeCell ref="A6:I7"/>
    <mergeCell ref="B10:C11"/>
    <mergeCell ref="D10:E10"/>
    <mergeCell ref="G10:H10"/>
  </mergeCells>
  <pageMargins left="0.7" right="0.7" top="0.5" bottom="0.5" header="0.3" footer="0.3"/>
  <pageSetup scale="88" orientation="portrait" r:id="rId1"/>
  <headerFooter alignWithMargins="0">
    <oddFooter>&amp;R&amp;"Arial,Bold"&amp;8 &amp;"Arial,Bold Italic" &amp;"Arial,Bold"&amp;D</oddFooter>
  </headerFooter>
  <rowBreaks count="1" manualBreakCount="1">
    <brk id="48" max="8" man="1"/>
  </rowBreaks>
  <colBreaks count="1" manualBreakCount="1">
    <brk id="8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2017 Statistics</vt:lpstr>
      <vt:lpstr>2018 Statistics</vt:lpstr>
      <vt:lpstr>2019 Statistics</vt:lpstr>
      <vt:lpstr>'April 2019'!Print_Area</vt:lpstr>
      <vt:lpstr>'August 2019'!Print_Area</vt:lpstr>
      <vt:lpstr>'December 2019'!Print_Area</vt:lpstr>
      <vt:lpstr>'February 2019'!Print_Area</vt:lpstr>
      <vt:lpstr>'January 2019'!Print_Area</vt:lpstr>
      <vt:lpstr>'July 2019'!Print_Area</vt:lpstr>
      <vt:lpstr>'June 2019'!Print_Area</vt:lpstr>
      <vt:lpstr>'March 2019'!Print_Area</vt:lpstr>
      <vt:lpstr>'May 2019'!Print_Area</vt:lpstr>
      <vt:lpstr>'November 2019'!Print_Area</vt:lpstr>
      <vt:lpstr>'October 2019'!Print_Area</vt:lpstr>
      <vt:lpstr>'September 2019'!Print_Area</vt:lpstr>
    </vt:vector>
  </TitlesOfParts>
  <Company>Dayton International Airport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acoleman</dc:creator>
  <cp:lastModifiedBy>Shannon Lucero</cp:lastModifiedBy>
  <cp:lastPrinted>2020-01-08T14:46:01Z</cp:lastPrinted>
  <dcterms:created xsi:type="dcterms:W3CDTF">2005-02-04T13:58:44Z</dcterms:created>
  <dcterms:modified xsi:type="dcterms:W3CDTF">2020-02-11T17:47:28Z</dcterms:modified>
</cp:coreProperties>
</file>